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336C10FB-39AD-4E9C-9C82-6109602EA44D}" xr6:coauthVersionLast="47" xr6:coauthVersionMax="47" xr10:uidLastSave="{00000000-0000-0000-0000-000000000000}"/>
  <bookViews>
    <workbookView xWindow="-120" yWindow="-120" windowWidth="24240" windowHeight="13140" tabRatio="712" firstSheet="13" activeTab="13"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DIROS" sheetId="27" state="hidden" r:id="rId10"/>
    <sheet name="calculos corte espec" sheetId="28" state="hidden" r:id="rId11"/>
    <sheet name="ANEXO 1" sheetId="25" state="hidden" r:id="rId12"/>
    <sheet name="OAP-DIROS (23-9)" sheetId="29" state="hidden" r:id="rId13"/>
    <sheet name="ANEXO 2" sheetId="23" r:id="rId14"/>
    <sheet name="ANEXO 3" sheetId="24" r:id="rId15"/>
  </sheets>
  <definedNames>
    <definedName name="_xlnm.Print_Area" localSheetId="11">'ANEXO 1'!$A$1:$S$26</definedName>
    <definedName name="_xlnm.Print_Area" localSheetId="13">'ANEXO 2'!$A$1:$K$65</definedName>
    <definedName name="_xlnm.Print_Area" localSheetId="14">'ANEXO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'OAP-DIROS'!$A$1:$S$26</definedName>
    <definedName name="_xlnm.Print_Area" localSheetId="12">'OAP-DIROS (23-9)'!$A$1:$S$26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2" i="27" l="1"/>
  <c r="M21" i="27"/>
  <c r="M18" i="27"/>
  <c r="M17" i="27"/>
  <c r="M16" i="27"/>
  <c r="M15" i="27"/>
  <c r="M14" i="27"/>
  <c r="M13" i="27"/>
  <c r="M12" i="27"/>
  <c r="M11" i="27"/>
  <c r="M10" i="27"/>
  <c r="M9" i="27"/>
  <c r="M8" i="27"/>
  <c r="L24" i="25" l="1"/>
  <c r="H64" i="23" s="1"/>
  <c r="F28" i="24" s="1"/>
  <c r="G24" i="25"/>
  <c r="J64" i="23" s="1"/>
  <c r="C28" i="24" s="1"/>
  <c r="E12" i="28" l="1"/>
  <c r="F12" i="28" s="1"/>
  <c r="F13" i="28" s="1"/>
  <c r="G10" i="28"/>
  <c r="F5" i="28" l="1"/>
  <c r="G5" i="28" s="1"/>
  <c r="E7" i="28"/>
  <c r="H10" i="28" s="1"/>
  <c r="O21" i="29"/>
  <c r="K21" i="29"/>
  <c r="P21" i="29" s="1"/>
  <c r="Q21" i="29" s="1"/>
  <c r="H19" i="29"/>
  <c r="H22" i="29" s="1"/>
  <c r="O16" i="29"/>
  <c r="K16" i="29"/>
  <c r="P16" i="29" s="1"/>
  <c r="Q16" i="29" s="1"/>
  <c r="O13" i="29"/>
  <c r="O19" i="29" s="1"/>
  <c r="O22" i="29" s="1"/>
  <c r="K13" i="29"/>
  <c r="P13" i="29" s="1"/>
  <c r="Q13" i="29" s="1"/>
  <c r="O8" i="29"/>
  <c r="K8" i="29"/>
  <c r="S1" i="29"/>
  <c r="O1" i="29"/>
  <c r="Q1" i="29" s="1"/>
  <c r="S1" i="27"/>
  <c r="O1" i="27"/>
  <c r="Q1" i="27" s="1"/>
  <c r="F7" i="28" l="1"/>
  <c r="F8" i="28" s="1"/>
  <c r="K19" i="29"/>
  <c r="K22" i="29" s="1"/>
  <c r="T1" i="29"/>
  <c r="M1" i="29"/>
  <c r="P8" i="29"/>
  <c r="Q8" i="29" s="1"/>
  <c r="Q19" i="29" s="1"/>
  <c r="Q22" i="29" s="1"/>
  <c r="U1" i="27"/>
  <c r="M1" i="27"/>
  <c r="L1" i="27" l="1"/>
  <c r="K21" i="27"/>
  <c r="R22" i="25" l="1"/>
  <c r="Q22" i="25"/>
  <c r="D24" i="25" l="1"/>
  <c r="D64" i="23" s="1"/>
  <c r="O21" i="27"/>
  <c r="M21" i="25"/>
  <c r="M16" i="25"/>
  <c r="M13" i="25"/>
  <c r="M8" i="25"/>
  <c r="J8" i="25"/>
  <c r="I21" i="25"/>
  <c r="I18" i="25"/>
  <c r="I17" i="25"/>
  <c r="I16" i="25"/>
  <c r="I15" i="25"/>
  <c r="I14" i="25"/>
  <c r="I13" i="25"/>
  <c r="I12" i="25"/>
  <c r="I11" i="25"/>
  <c r="I10" i="25"/>
  <c r="I9" i="25"/>
  <c r="I8" i="25"/>
  <c r="H21" i="25"/>
  <c r="H16" i="25"/>
  <c r="H13" i="25"/>
  <c r="H8" i="25"/>
  <c r="K8" i="27"/>
  <c r="K13" i="27"/>
  <c r="K13" i="25" s="1"/>
  <c r="K16" i="27"/>
  <c r="K16" i="25" s="1"/>
  <c r="E33" i="24" l="1"/>
  <c r="D8" i="24"/>
  <c r="N21" i="25"/>
  <c r="Q21" i="27"/>
  <c r="O13" i="27"/>
  <c r="N13" i="25" s="1"/>
  <c r="K19" i="27"/>
  <c r="K19" i="25" s="1"/>
  <c r="K8" i="25"/>
  <c r="O16" i="27"/>
  <c r="N16" i="25" s="1"/>
  <c r="O8" i="27"/>
  <c r="N8" i="25" s="1"/>
  <c r="N19" i="25" l="1"/>
  <c r="O19" i="27"/>
  <c r="P16" i="27"/>
  <c r="P8" i="27"/>
  <c r="H19" i="27"/>
  <c r="H22" i="27" s="1"/>
  <c r="H22" i="25" s="1"/>
  <c r="P13" i="27"/>
  <c r="P21" i="27" l="1"/>
  <c r="K21" i="25"/>
  <c r="K22" i="27"/>
  <c r="K22" i="25" s="1"/>
  <c r="Q16" i="27"/>
  <c r="P16" i="25" s="1"/>
  <c r="O16" i="25"/>
  <c r="Q13" i="27"/>
  <c r="P13" i="25" s="1"/>
  <c r="O13" i="25"/>
  <c r="Q8" i="27"/>
  <c r="P8" i="25" s="1"/>
  <c r="O8" i="25"/>
  <c r="O22" i="27"/>
  <c r="N22" i="25" s="1"/>
  <c r="H19" i="25"/>
  <c r="O21" i="25" l="1"/>
  <c r="Q19" i="27"/>
  <c r="Q22" i="27" s="1"/>
  <c r="P19" i="25" l="1"/>
  <c r="D13" i="24" s="1"/>
  <c r="E13" i="24" s="1"/>
  <c r="P22" i="25"/>
  <c r="P21" i="25"/>
  <c r="E20" i="24" s="1"/>
  <c r="G54" i="23"/>
  <c r="F54" i="23"/>
  <c r="E54" i="23"/>
  <c r="G48" i="23"/>
  <c r="F48" i="23"/>
  <c r="E48" i="23"/>
  <c r="G41" i="23"/>
  <c r="F41" i="23"/>
  <c r="E41" i="23"/>
  <c r="G34" i="23"/>
  <c r="F34" i="23"/>
  <c r="E34" i="23"/>
  <c r="G21" i="23"/>
  <c r="F21" i="23"/>
  <c r="E21" i="23"/>
  <c r="E27" i="23"/>
  <c r="F27" i="23"/>
  <c r="G27" i="23"/>
  <c r="E59" i="23"/>
  <c r="F59" i="23"/>
  <c r="G59" i="23"/>
  <c r="I16" i="9"/>
  <c r="H13" i="9"/>
  <c r="K13" i="9"/>
  <c r="K10" i="9"/>
  <c r="H10" i="9"/>
  <c r="H7" i="9"/>
  <c r="L7" i="9" s="1"/>
  <c r="M13" i="9"/>
  <c r="M7" i="9"/>
  <c r="M10" i="9"/>
  <c r="J16" i="9"/>
  <c r="B16" i="9"/>
  <c r="H27" i="5"/>
  <c r="M24" i="7"/>
  <c r="M21" i="7"/>
  <c r="M18" i="7"/>
  <c r="K24" i="7"/>
  <c r="K27" i="7" s="1"/>
  <c r="K21" i="7"/>
  <c r="M24" i="6"/>
  <c r="J24" i="6"/>
  <c r="J24" i="7" s="1"/>
  <c r="J21" i="6"/>
  <c r="J21" i="7" s="1"/>
  <c r="J18" i="6"/>
  <c r="J18" i="7" s="1"/>
  <c r="M18" i="6"/>
  <c r="I18" i="5"/>
  <c r="I18" i="6" s="1"/>
  <c r="H18" i="6"/>
  <c r="M24" i="5"/>
  <c r="M21" i="5"/>
  <c r="M18" i="5"/>
  <c r="I24" i="5"/>
  <c r="L24" i="5" s="1"/>
  <c r="I24" i="7"/>
  <c r="H24" i="7"/>
  <c r="I21" i="5"/>
  <c r="I21" i="7" s="1"/>
  <c r="H21" i="6"/>
  <c r="B27" i="7"/>
  <c r="H21" i="7"/>
  <c r="H18" i="7"/>
  <c r="D7" i="7"/>
  <c r="D6" i="7"/>
  <c r="D5" i="7"/>
  <c r="D4" i="7"/>
  <c r="B27" i="6"/>
  <c r="H24" i="6"/>
  <c r="D7" i="6"/>
  <c r="D6" i="6"/>
  <c r="D5" i="6"/>
  <c r="D4" i="6"/>
  <c r="B27" i="5"/>
  <c r="D7" i="5"/>
  <c r="D6" i="5"/>
  <c r="D5" i="5"/>
  <c r="D4" i="5"/>
  <c r="B26" i="1"/>
  <c r="L21" i="5"/>
  <c r="K16" i="9" l="1"/>
  <c r="I21" i="6"/>
  <c r="L21" i="6" s="1"/>
  <c r="M21" i="6" s="1"/>
  <c r="L13" i="9"/>
  <c r="L16" i="9" s="1"/>
  <c r="E60" i="23"/>
  <c r="I49" i="23"/>
  <c r="L10" i="9"/>
  <c r="F60" i="23"/>
  <c r="G60" i="23"/>
  <c r="I22" i="23"/>
  <c r="I55" i="23"/>
  <c r="I14" i="23"/>
  <c r="H27" i="6"/>
  <c r="L24" i="7"/>
  <c r="H27" i="7"/>
  <c r="M16" i="9"/>
  <c r="M27" i="7"/>
  <c r="I28" i="23"/>
  <c r="I35" i="23"/>
  <c r="I42" i="23"/>
  <c r="L21" i="7"/>
  <c r="J27" i="7"/>
  <c r="M27" i="5"/>
  <c r="J27" i="6"/>
  <c r="H16" i="9"/>
  <c r="L18" i="6"/>
  <c r="M27" i="6"/>
  <c r="I27" i="5"/>
  <c r="I18" i="7"/>
  <c r="L18" i="5"/>
  <c r="L27" i="5" s="1"/>
  <c r="I24" i="6"/>
  <c r="L24" i="6" s="1"/>
  <c r="I62" i="23" l="1"/>
  <c r="L18" i="7"/>
  <c r="L27" i="7" s="1"/>
  <c r="I27" i="7"/>
  <c r="L27" i="6"/>
  <c r="I27" i="6"/>
  <c r="J62" i="23" l="1"/>
  <c r="D15" i="24"/>
  <c r="E15" i="24" s="1"/>
  <c r="E18" i="24" l="1"/>
  <c r="E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tc={8F7EA7D7-3029-468C-85C0-4BEB0D7E0E52}</author>
    <author>tc={03F8EA59-E68D-43E2-89D3-8D86789BB85D}</author>
  </authors>
  <commentList>
    <comment ref="M1" authorId="0" shapeId="0" xr:uid="{00000000-0006-0000-0900-000001000000}">
      <text>
        <r>
          <rPr>
            <b/>
            <sz val="9"/>
            <color indexed="81"/>
            <rFont val="Tahoma"/>
            <family val="2"/>
          </rPr>
          <t>Indice acumulador gradual de los ciclos de evaluación durante el semestre II</t>
        </r>
      </text>
    </comment>
    <comment ref="N1" authorId="0" shapeId="0" xr:uid="{00000000-0006-0000-0900-000002000000}">
      <text>
        <r>
          <rPr>
            <b/>
            <sz val="9"/>
            <color indexed="81"/>
            <rFont val="Tahoma"/>
            <family val="2"/>
          </rPr>
          <t>Indice total para calcular el cierre de la evaluación</t>
        </r>
      </text>
    </comment>
    <comment ref="P1" authorId="0" shapeId="0" xr:uid="{00000000-0006-0000-0900-000003000000}">
      <text>
        <r>
          <rPr>
            <b/>
            <sz val="9"/>
            <color indexed="81"/>
            <rFont val="Tahoma"/>
            <family val="2"/>
          </rPr>
          <t>Director 1</t>
        </r>
      </text>
    </comment>
    <comment ref="S1" authorId="0" shapeId="0" xr:uid="{00000000-0006-0000-0900-000004000000}">
      <text>
        <r>
          <rPr>
            <b/>
            <sz val="9"/>
            <color indexed="81"/>
            <rFont val="Tahoma"/>
            <family val="2"/>
          </rPr>
          <t>Director 2</t>
        </r>
      </text>
    </comment>
    <comment ref="P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00000000-0006-0000-0900-000014000000}">
      <text>
        <r>
          <rPr>
            <sz val="12"/>
            <color indexed="81"/>
            <rFont val="Tahoma"/>
            <family val="2"/>
          </rPr>
          <t>Breve descripción del producto o actividad indicada como evidencia.</t>
        </r>
      </text>
    </comment>
    <comment ref="S7" authorId="1" shapeId="0" xr:uid="{00000000-0006-0000-0900-000015000000}">
      <text>
        <r>
          <rPr>
            <sz val="12"/>
            <color indexed="81"/>
            <rFont val="Tahoma"/>
            <family val="2"/>
          </rPr>
          <t>Ubicación de la misma ya sea en medios físicos o electrónicos.</t>
        </r>
      </text>
    </comment>
    <comment ref="T7" authorId="1" shapeId="0" xr:uid="{17050704-A0F7-44F2-ACCB-F94312EAB3E8}">
      <text>
        <r>
          <rPr>
            <sz val="12"/>
            <color indexed="81"/>
            <rFont val="Tahoma"/>
            <family val="2"/>
          </rPr>
          <t>Ubicación de la misma ya sea en medios físicos o electrónicos.</t>
        </r>
      </text>
    </comment>
    <comment ref="S18" authorId="5" shapeId="0" xr:uid="{8F7EA7D7-3029-468C-85C0-4BEB0D7E0E52}">
      <text>
        <t>[Comentario encadenado]
Su versión de Excel le permite leer este comentario encadenado; sin embargo, las ediciones que se apliquen se quitarán si el archivo se abre en una versión más reciente de Excel. Más información: https://go.microsoft.com/fwlink/?linkid=870924
Comentario:
    Ruta en ONEDRIVE</t>
      </text>
    </comment>
    <comment ref="T18" authorId="6" shapeId="0" xr:uid="{03F8EA59-E68D-43E2-89D3-8D86789BB85D}">
      <text>
        <t>[Comentario encadenado]
Su versión de Excel le permite leer este comentario encadenado; sin embargo, las ediciones que se apliquen se quitarán si el archivo se abre en una versión más reciente de Excel. Más información: https://go.microsoft.com/fwlink/?linkid=870924
Comentario:
    Ruta en ONEDRIVE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tc={C59780DA-8BA9-40F6-ADC8-10058E523C25}</author>
  </authors>
  <commentList>
    <comment ref="O5" authorId="0" shapeId="0" xr:uid="{00000000-0006-0000-0B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B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B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B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B00-000005000000}">
      <text>
        <r>
          <rPr>
            <sz val="12"/>
            <color indexed="81"/>
            <rFont val="Tahoma"/>
            <family val="2"/>
          </rPr>
          <t>Lapso de ejecución del compromiso concertado en el cual deberán adelantarse las acciones necesarias para su cumplimiento.</t>
        </r>
      </text>
    </comment>
    <comment ref="G6" authorId="1" shapeId="0" xr:uid="{00000000-0006-0000-0B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B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B00-000008000000}">
      <text>
        <r>
          <rPr>
            <sz val="12"/>
            <color indexed="81"/>
            <rFont val="Tahoma"/>
            <family val="2"/>
          </rPr>
          <t>Resultado final alcanzado, que se obtiene de la sumatoria entre el cumplimiento del primer y segundo semestre de acuerdo con lo concertado.</t>
        </r>
      </text>
    </comment>
    <comment ref="P6" authorId="0" shapeId="0" xr:uid="{00000000-0006-0000-0B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B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B00-00000B000000}">
      <text>
        <r>
          <rPr>
            <sz val="12"/>
            <color indexed="81"/>
            <rFont val="Tahoma"/>
            <family val="2"/>
          </rPr>
          <t>Porcentaje programado de cumplimiento de cada compromiso gerencial para este periodo.</t>
        </r>
      </text>
    </comment>
    <comment ref="K7" authorId="1" shapeId="0" xr:uid="{00000000-0006-0000-0B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B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B00-00000E000000}">
      <text>
        <r>
          <rPr>
            <sz val="12"/>
            <color indexed="81"/>
            <rFont val="Tahoma"/>
            <family val="2"/>
          </rPr>
          <t>Porcentaje programado de cumplimiento de cada compromiso gerencial durante este periodo.</t>
        </r>
      </text>
    </comment>
    <comment ref="N7" authorId="1" shapeId="0" xr:uid="{00000000-0006-0000-0B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B00-000010000000}">
      <text>
        <r>
          <rPr>
            <sz val="12"/>
            <color indexed="81"/>
            <rFont val="Tahoma"/>
            <family val="2"/>
          </rPr>
          <t>Breve descripción del producto o actividad indicada como evidencia.</t>
        </r>
      </text>
    </comment>
    <comment ref="R7" authorId="0" shapeId="0" xr:uid="{00000000-0006-0000-0B00-000011000000}">
      <text>
        <r>
          <rPr>
            <sz val="12"/>
            <color indexed="81"/>
            <rFont val="Tahoma"/>
            <family val="2"/>
          </rPr>
          <t>Ubicación de la misma ya sea en medios físicos o electrónicos.</t>
        </r>
      </text>
    </comment>
    <comment ref="R18" authorId="4" shapeId="0" xr:uid="{00000000-0006-0000-0B00-00001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Ruta en ONEDRIVE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C00-000001000000}">
      <text>
        <r>
          <rPr>
            <b/>
            <sz val="9"/>
            <color indexed="81"/>
            <rFont val="Tahoma"/>
            <family val="2"/>
          </rPr>
          <t>Indice acumulador gradual de los ciclos de evaluación durante el semestre II</t>
        </r>
      </text>
    </comment>
    <comment ref="N1" authorId="0" shapeId="0" xr:uid="{00000000-0006-0000-0C00-000002000000}">
      <text>
        <r>
          <rPr>
            <b/>
            <sz val="9"/>
            <color indexed="81"/>
            <rFont val="Tahoma"/>
            <family val="2"/>
          </rPr>
          <t>Indice total para calcular el cierre de la evaluación</t>
        </r>
      </text>
    </comment>
    <comment ref="P1" authorId="0" shapeId="0" xr:uid="{00000000-0006-0000-0C00-000003000000}">
      <text>
        <r>
          <rPr>
            <b/>
            <sz val="9"/>
            <color indexed="81"/>
            <rFont val="Tahoma"/>
            <family val="2"/>
          </rPr>
          <t>Director 1</t>
        </r>
      </text>
    </comment>
    <comment ref="S1" authorId="0" shapeId="0" xr:uid="{00000000-0006-0000-0C00-000004000000}">
      <text>
        <r>
          <rPr>
            <b/>
            <sz val="9"/>
            <color indexed="81"/>
            <rFont val="Tahoma"/>
            <family val="2"/>
          </rPr>
          <t>Director 2</t>
        </r>
      </text>
    </comment>
    <comment ref="P5" authorId="1" shapeId="0" xr:uid="{00000000-0006-0000-0C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C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C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C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C00-000009000000}">
      <text>
        <r>
          <rPr>
            <sz val="12"/>
            <color indexed="81"/>
            <rFont val="Tahoma"/>
            <family val="2"/>
          </rPr>
          <t>Lapso de ejecución del compromiso concertado en el cual deberán adelantarse las acciones necesarias para su cumplimiento.</t>
        </r>
      </text>
    </comment>
    <comment ref="G6" authorId="2" shapeId="0" xr:uid="{00000000-0006-0000-0C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C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C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C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C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C00-00000F000000}">
      <text>
        <r>
          <rPr>
            <sz val="12"/>
            <color indexed="81"/>
            <rFont val="Tahoma"/>
            <family val="2"/>
          </rPr>
          <t>Porcentaje programado de cumplimiento de cada compromiso gerencial para este periodo.</t>
        </r>
      </text>
    </comment>
    <comment ref="K7" authorId="2" shapeId="0" xr:uid="{00000000-0006-0000-0C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C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C00-000012000000}">
      <text>
        <r>
          <rPr>
            <sz val="12"/>
            <color indexed="81"/>
            <rFont val="Tahoma"/>
            <family val="2"/>
          </rPr>
          <t>Porcentaje programado de cumplimiento de cada compromiso gerencial durante este periodo.</t>
        </r>
      </text>
    </comment>
    <comment ref="O7" authorId="2" shapeId="0" xr:uid="{00000000-0006-0000-0C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00000000-0006-0000-0C00-000014000000}">
      <text>
        <r>
          <rPr>
            <sz val="12"/>
            <color indexed="81"/>
            <rFont val="Tahoma"/>
            <family val="2"/>
          </rPr>
          <t>Breve descripción del producto o actividad indicada como evidencia.</t>
        </r>
      </text>
    </comment>
    <comment ref="S7" authorId="1" shapeId="0" xr:uid="{00000000-0006-0000-0C00-000015000000}">
      <text>
        <r>
          <rPr>
            <sz val="12"/>
            <color indexed="81"/>
            <rFont val="Tahoma"/>
            <family val="2"/>
          </rPr>
          <t>Ubicación de la misma ya sea en medios físicos o electrónicos.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D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D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D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<sst xmlns="http://schemas.openxmlformats.org/spreadsheetml/2006/main" count="776" uniqueCount="358">
  <si>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</si>
  <si>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</si>
  <si>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</si>
  <si>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</si>
  <si>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</si>
  <si>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</si>
  <si>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</si>
  <si>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</si>
  <si>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</si>
  <si>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</si>
  <si>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</si>
  <si>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</si>
  <si>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</si>
  <si>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</si>
  <si>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</si>
  <si>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</si>
  <si>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</si>
  <si>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</si>
  <si>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</si>
  <si>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</si>
  <si>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</si>
  <si>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</si>
  <si>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</si>
  <si>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</si>
  <si>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</si>
  <si>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</si>
  <si>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</si>
  <si>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</si>
  <si>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</si>
  <si>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</si>
  <si>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</si>
  <si>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</si>
  <si>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</si>
  <si>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</si>
  <si>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</si>
  <si>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</si>
  <si>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</si>
  <si>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</si>
  <si>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</si>
  <si>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</si>
  <si>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</si>
  <si>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</si>
  <si>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</si>
  <si>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</si>
  <si>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</si>
  <si>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</si>
  <si>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</si>
  <si>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</si>
  <si>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</si>
  <si>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</si>
  <si>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</si>
  <si>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</si>
  <si>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</si>
  <si>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</si>
  <si>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</si>
  <si>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</si>
  <si>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</si>
  <si>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</si>
  <si>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</si>
  <si>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</si>
  <si>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</si>
  <si>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</si>
  <si>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</si>
  <si>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</si>
  <si>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</si>
  <si>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</si>
  <si>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</si>
  <si>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</si>
  <si>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</si>
  <si>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</si>
  <si>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</si>
  <si>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</si>
  <si>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</si>
  <si>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</si>
  <si>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</si>
  <si>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</si>
  <si>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</si>
  <si>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</si>
  <si>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</si>
  <si>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</si>
  <si>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</si>
  <si>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</si>
  <si>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</si>
  <si>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</si>
  <si>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</si>
  <si>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</si>
  <si>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</si>
  <si>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</si>
  <si>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</si>
  <si>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</si>
  <si>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</si>
  <si>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</si>
  <si>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</si>
  <si>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</si>
  <si>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</si>
  <si>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</si>
  <si>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</si>
  <si>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</si>
  <si>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</si>
  <si>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</si>
  <si>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</si>
  <si>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</si>
  <si>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</si>
  <si>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</si>
  <si>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</si>
  <si>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</si>
  <si>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</si>
  <si>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</si>
  <si>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</si>
  <si>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</si>
  <si>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</si>
  <si>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</si>
  <si>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</si>
  <si>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</si>
  <si>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</si>
  <si>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</si>
  <si>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</si>
  <si>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</si>
  <si>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</si>
  <si>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</si>
  <si>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</si>
  <si>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</si>
  <si>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</si>
  <si>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</si>
  <si>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</si>
  <si>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</si>
  <si>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</si>
  <si>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</si>
  <si>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</si>
  <si>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</si>
  <si>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</si>
  <si>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</si>
  <si>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</si>
  <si>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</si>
  <si>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</si>
  <si>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</si>
  <si>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</si>
  <si>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</si>
  <si>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</si>
  <si>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</si>
  <si>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</si>
  <si>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</si>
  <si>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</si>
  <si>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</si>
  <si>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</si>
  <si>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</si>
  <si>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</si>
  <si>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</si>
  <si>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</si>
  <si>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</si>
  <si>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</si>
  <si>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</si>
  <si>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</si>
  <si>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</si>
  <si>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</si>
  <si>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</si>
  <si>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</si>
  <si>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</si>
  <si>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</si>
  <si>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</si>
  <si>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</si>
  <si>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</si>
  <si>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</si>
  <si>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</si>
  <si>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</si>
  <si>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</si>
  <si>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</si>
  <si>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</si>
  <si>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</si>
  <si>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</si>
  <si>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</si>
  <si>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</si>
  <si>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</si>
  <si>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</si>
  <si>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</si>
  <si>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</si>
  <si>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</si>
  <si>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</si>
  <si>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</si>
  <si>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</si>
  <si>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</si>
  <si>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</si>
  <si>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</si>
  <si>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</si>
  <si>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</si>
  <si>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</si>
  <si>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</si>
  <si>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</si>
  <si>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</si>
  <si>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</si>
  <si>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</si>
  <si>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</si>
  <si>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</si>
  <si>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</si>
  <si>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</si>
  <si>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</si>
  <si>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</si>
  <si>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Gestionar la planeación, monitoreo y control y  realización de las visitas de inspección, vigilancia y control de los productos competencia del Invima, basado en el modelo de gestión de riesgo implementado por la Entidad para verificar y validar el cumplimiento de los estándares y  normatividad sanitaria vigente, a los establecimientos, instituciones y productos competencia del INVIMA.</t>
  </si>
  <si>
    <t>17/01/2022 AL 31/12/2022</t>
  </si>
  <si>
    <r>
      <t xml:space="preserve">Realizar Inspección , vigilancia y control  a establecimientos de competencia de la Dirección </t>
    </r>
    <r>
      <rPr>
        <b/>
        <sz val="16"/>
        <color theme="1"/>
        <rFont val="Arial"/>
        <family val="2"/>
      </rPr>
      <t xml:space="preserve">(Bancos de Sangre) </t>
    </r>
  </si>
  <si>
    <r>
      <t xml:space="preserve">Realizar Inspección , vigilancia y control  a establecimientos de competencia de la Dirección </t>
    </r>
    <r>
      <rPr>
        <b/>
        <sz val="16"/>
        <color theme="1"/>
        <rFont val="Arial"/>
        <family val="2"/>
      </rPr>
      <t xml:space="preserve">(Cosméticos) </t>
    </r>
  </si>
  <si>
    <r>
      <t xml:space="preserve">Realizar Inspección , vigilancia y control  a establecimientos de competencia de la Dirección </t>
    </r>
    <r>
      <rPr>
        <b/>
        <sz val="16"/>
        <color theme="1"/>
        <rFont val="Arial"/>
        <family val="2"/>
      </rPr>
      <t xml:space="preserve">(Dispositivos) </t>
    </r>
  </si>
  <si>
    <r>
      <t xml:space="preserve">Realizar Inspección , vigilancia y control  a establecimientos de competencia de la Dirección </t>
    </r>
    <r>
      <rPr>
        <b/>
        <sz val="16"/>
        <color theme="1"/>
        <rFont val="Arial"/>
        <family val="2"/>
      </rPr>
      <t xml:space="preserve">(Medicamentos) </t>
    </r>
  </si>
  <si>
    <r>
      <t xml:space="preserve">Realizar Inspección , vigilancia y control  a establecimientos de competencia de la Dirección </t>
    </r>
    <r>
      <rPr>
        <b/>
        <sz val="16"/>
        <color theme="1"/>
        <rFont val="Arial"/>
        <family val="2"/>
      </rPr>
      <t xml:space="preserve">(Alimentos) </t>
    </r>
  </si>
  <si>
    <t>Gestionar las actividades de inspección, vigilancia y control de productos competencia del Invima que ingresan al país por:
*Tráfico postal y mensajería expresa en Aeropuertos Internacionales donde el Instituto tiene presencia.
*Sitios de Control en Primera Barrera, Puertos Marítimos y Fluviales, Pasos Fronterizos, Aeropuertos Internacionales, Zonas Francas, Depósitos o Establecimientos; inspección vigilancia en la certificación sanitaria de alimentos, materias primas e insumos para la industria de alimentos y bebidas alcohólicas. 
*Inspección, vigilancia y control de reactivos objeto de importación que cuenten con certificación de no obligatoriedad emitida por las direcciones misionales o no requiere donde relacionan control de la entidad.</t>
  </si>
  <si>
    <t xml:space="preserve">Realizar las actividades de inspección, vigilancia y control de productos competencia del Invima que ingresan al país por tráfico postal y mensajería expresa en Aeropuertos Internacionales donde el Instituto tiene presencia. </t>
  </si>
  <si>
    <t xml:space="preserve">Aplicar las medidas sanitarias producto de la inspección, vigilancia y control de productos competencia del Invima que ingresan al país por tráfico postal y mensajería expresa en Aeropuertos Internacionales donde el Instituto tiene presencia. </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</si>
  <si>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</si>
  <si>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Gestionar de manera oportuna, los tramites de autorización de importación, acorde con los conceptos emitidos por los profesionales a cago de cada uno de los tramites, de conformidad con la normatividad vigente y los procedimientos internos.</t>
  </si>
  <si>
    <t>Emitir autorizaciones para estudios de importación de los productos competencia del Invima</t>
  </si>
  <si>
    <t>Realizar la verificación IN SITU de reactivos  objeto de importación que por su uso deban ser objeto de control sanitario.</t>
  </si>
  <si>
    <t xml:space="preserve">Responder y gestionar las notificaciones relacionadas con acciones de tutela, para autorización de importación de medicamnetos vitales no disponibles </t>
  </si>
  <si>
    <t xml:space="preserve">Concertacion para el desempeño sobresaliente (5% adicional. Describir los compromisos gerenciales adicionales) </t>
  </si>
  <si>
    <t xml:space="preserve">Gestionar y acompañar los procesos de formalización de los trapiches paneleros para el mejoramiento del estatus sanitario del país </t>
  </si>
  <si>
    <t>17/01/2022  AL 31/12/2022</t>
  </si>
  <si>
    <t xml:space="preserve">Procesos de formalización, capacitación, visitas de inspección y acciones de acompañamiento sanitario mediante actividades de inspección, vigilancia y control. </t>
  </si>
  <si>
    <t xml:space="preserve">FECHA </t>
  </si>
  <si>
    <t>VIGENCIA</t>
  </si>
  <si>
    <t>01/02/2022 AL 31/12/2022</t>
  </si>
  <si>
    <t>Firma del Superior Jerárquico</t>
  </si>
  <si>
    <t xml:space="preserve">Firma del Gerente Público </t>
  </si>
  <si>
    <t>Firma del Gerente Público</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</si>
  <si>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</si>
  <si>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</si>
  <si>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</si>
  <si>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</si>
  <si>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</si>
  <si>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</si>
  <si>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</si>
  <si>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</si>
  <si>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</si>
  <si>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</si>
  <si>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</si>
  <si>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</si>
  <si>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</si>
  <si>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</si>
  <si>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</si>
  <si>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</si>
  <si>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</si>
  <si>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</si>
  <si>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</si>
  <si>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</si>
  <si>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</si>
  <si>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</si>
  <si>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</si>
  <si>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</si>
  <si>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</si>
  <si>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</si>
  <si>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</si>
  <si>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</si>
  <si>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</si>
  <si>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</si>
  <si>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</si>
  <si>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</si>
  <si>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</si>
  <si>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</si>
  <si>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</si>
  <si>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</si>
  <si>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</si>
  <si>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</si>
  <si>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</si>
  <si>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</si>
  <si>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</si>
  <si>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</si>
  <si>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</si>
  <si>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</si>
  <si>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</si>
  <si>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</si>
  <si>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</si>
  <si>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</si>
  <si>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</si>
  <si>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</si>
  <si>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</si>
  <si>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</si>
  <si>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</si>
  <si>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</si>
  <si>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</si>
  <si>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</si>
  <si>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</si>
  <si>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</si>
  <si>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</si>
  <si>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</si>
  <si>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</si>
  <si>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</si>
  <si>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</si>
  <si>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</si>
  <si>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01/02/2022-31/12/2022</t>
  </si>
  <si>
    <t>Firma Superior Jerárquico</t>
  </si>
  <si>
    <t>Anexo 3. Consolidado de evaluación del Acuerdo de Gestión</t>
  </si>
  <si>
    <t xml:space="preserve">Nombre del Gerente Público: </t>
  </si>
  <si>
    <t>Sandra Patricia Gómez Montoya</t>
  </si>
  <si>
    <t>Área en la que se desempeña:</t>
  </si>
  <si>
    <t>Dirección de Operaciones Sanitarias</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</si>
  <si>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</si>
  <si>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</si>
  <si>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</si>
  <si>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</si>
  <si>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</si>
  <si>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</si>
  <si>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</si>
  <si>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</si>
  <si>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</si>
  <si>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 xml:space="preserve">Firma del Superior Jerárquico </t>
  </si>
  <si>
    <t>Firma del Gerente Publico.</t>
  </si>
  <si>
    <t>FECHA:</t>
  </si>
  <si>
    <t>VIGENCIA:</t>
  </si>
  <si>
    <r>
      <t xml:space="preserve">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t>
    </r>
    <r>
      <rPr>
        <b/>
        <sz val="16"/>
        <color theme="1"/>
        <rFont val="Arial"/>
        <family val="2"/>
      </rPr>
      <t>(CIS)</t>
    </r>
  </si>
  <si>
    <t>Carpeta IVC Dirección de Operaciones Sanitarias, informe de seguimiento y resultado de la gestión Gestión Interna</t>
  </si>
  <si>
    <t xml:space="preserve">Carpeta compartida VUCE Impo, y en el aplicativo de registros sanitarios SQL, eta información tambien reposa en la Oficina Asesora Juridica_ Grupo de Requerimientos judiciales. </t>
  </si>
  <si>
    <r>
      <t xml:space="preserve">Realizar Inspección , vigilancia y control  a establecimientos de competencia de la Dirección </t>
    </r>
    <r>
      <rPr>
        <b/>
        <sz val="16"/>
        <rFont val="Arial"/>
        <family val="2"/>
      </rPr>
      <t xml:space="preserve">(Bancos de Sangre) </t>
    </r>
  </si>
  <si>
    <r>
      <t xml:space="preserve">Realizar Inspección , vigilancia y control  a establecimientos de competencia de la Dirección </t>
    </r>
    <r>
      <rPr>
        <b/>
        <sz val="16"/>
        <rFont val="Arial"/>
        <family val="2"/>
      </rPr>
      <t xml:space="preserve">(Cosméticos) </t>
    </r>
  </si>
  <si>
    <r>
      <t xml:space="preserve">Realizar Inspección , vigilancia y control  a establecimientos de competencia de la Dirección </t>
    </r>
    <r>
      <rPr>
        <b/>
        <sz val="16"/>
        <rFont val="Arial"/>
        <family val="2"/>
      </rPr>
      <t xml:space="preserve">(Dispositivos) </t>
    </r>
  </si>
  <si>
    <r>
      <t xml:space="preserve">Realizar Inspección , vigilancia y control  a establecimientos de competencia de la Dirección </t>
    </r>
    <r>
      <rPr>
        <b/>
        <sz val="16"/>
        <rFont val="Arial"/>
        <family val="2"/>
      </rPr>
      <t xml:space="preserve">(Medicamentos) </t>
    </r>
  </si>
  <si>
    <r>
      <t xml:space="preserve">Realizar Inspección , vigilancia y control  a establecimientos de competencia de la Dirección </t>
    </r>
    <r>
      <rPr>
        <b/>
        <sz val="16"/>
        <rFont val="Arial"/>
        <family val="2"/>
      </rPr>
      <t xml:space="preserve">(Alimentos) </t>
    </r>
  </si>
  <si>
    <t>En el primer semestre se realizaron 49 visitas. Se mantiene el POA anual de 100 visitas para esta disciplina y hasta el momento se han ejecutado un total de cumplimiento de 51%.  La finalización del contrato de tiquetes incidió en el cubrimiento de visitas a los bancos que requieren tiquetes aéreos para el desplazamiento de los funcionarios. El apoyo que se brinda aún en VUCE con funcionarios que realizan las visitas de bancos. Sin embargo, se aprovechó para evacuar los bancos ubicados en Bogotá logrando mantener la meta propuesta para el 2do trimestre. Se espera programar aquellos bancos con más de 12 meses desde su última visita, esto teniendo en cuenta que la mayoría de los funcionarios ya regresaron a sus actividades de IVC.
Durante el segundo semestre, y con corte al 31 de agosto 2.022, se han realizado 20 visitas para esta disciplina, logrando un cumplimiento parcial de 71 visitas y un 71%.</t>
  </si>
  <si>
    <t>Las visitas de inspección vigilancia y control en la disciplina de Cosméticos, Aseo, Plaguicidas y Productos de Higiene Domestica, tuvo una ejecución para este primer semestre de 184 visitas.  Es de aclarar que el POA anual para esta disciplina es de 520 visitas y hasta el momento se ha ejecutado un porcentaje total de cumplimiento de 35,38%. La finalización del contrato de tiquetes incidió en el cubrimiento de visitas con apoyos en los GTT con más volumen de visitas. El ataque cibernético que imposibilitó la consulta de expedientes y/o radicados se mantuvo en este trimestre disminuyendo la capacidad de atender las visitas programadas por la Misional. Se espera contar con los funcionarios que se encuentran apoyando VUCE para que se puedan realizar las visitas en sus GTT y puedan dar apoyo a aquellos GTT que lo requieran.
Durante el segundo semestre, y con corte al 31 de agosto 2.022, se han realizado 103 visitas para esta disciplina, logrando un cumplimiento parcial de 287 visitas y un 55%.</t>
  </si>
  <si>
    <t>Las visitas de inspección vigilancia y control en la disciplina de Dispositivos Médicos para el año 2022 cuenta con una meta de 560 visitas a lo cual finalizando el primer semestre presentó una ejecución de 199 visitas atendidas de enero a junio con un porcentaje de cumplimiento de 36 %.  Es de aclarar que para contar con un porcentaje del 50% se debió recibir al menos la programación de 280 visitas por parte de la Dirección misional de Dispositivos Médicos, sin embargo, para este semestre la misional de Dispositivos Médicos no remitió lo esperado dentro de los tiempos, ocasionando un atraso en la ejecución de visitas de IVC esperadas de acuerdo a las metas proyectadas. La capacidad Operativa que realiza visitas en esta disciplina se encuentra notablemente disminuida en los Grupo de Trabajo Territorial teniendo alta demanda de entidades externas para emitir conceptos sobre productos considerados Dispositivos Médicos. Apoyos a las actividades del Grupo VUCE de los profesionales que realizan visitas de Inspección vigilancia y control en Dispositivos Médicos disminuyen la capacidad operativa para atender visitas de IVC. La no remisión oportuna de visitas por la Dirección de Dispositivos Médicos afectada por el ataque cibernético no ha permitido el cumplimiento del porcentaje del POA  por parte de la Dirección de Operaciones Sanitarias ya que no se cuenta con la programación o con los antecedentes que permitan la planeación de visitas de IVC de esta disciplina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
Durante el segundo semestre, y con corte al 31 de agosto 2.022, se han realizado 114 visitas para esta disciplina, logrando un cumplimiento parcial de 313 visitas y un 56%.</t>
  </si>
  <si>
    <t>En el I semestre de 2022 se realizaron un total de 222 visitas de IVC en la disciplina de Medicamentos, se habían planteado para este II Trimestre 109 visitas en esta disciplina.  A la fecha el inconveniente que se presenta es no disponer de la cantidad necesaria de perfiles profesionales que puedan atender adecuadamente las visitas de IVC de esta disciplina. Se realiza la programación de manera consensuada junto con las otras disciplinas de ME-DI-COS y Bancos de Sangre; garantizando apoyos entre los Grupos de Trabajo Territorial, para el cumplimiento de las metas planteadas. 
Durante el segundo semestre, y con corte al 31 de agosto 2.022, se han realizado 77 visitas para esta disciplina, logrando un cumplimiento parcial de 299 visitas y un 58%.</t>
  </si>
  <si>
    <t>Durante el I semestre de 2022 se realizaron 5.443 visitas de IVC  a plantas de alimento y bebidas; se tenía planteada una meta trimestral de 2181 visitas, por tanto se cumplió la meta correspondiente al II trimestre de 2022 con un 20% de ejecución adicional. 
Durante el segundo semestre, y con corte al 31 de agosto 2.022, se han realizado 1.677 visitas para esta disciplina, logrando un cumplimiento parcial de 7.110 visitas y un 83%.</t>
  </si>
  <si>
    <t>Durante el primer semestre se realizaron 2.743 actividades de inspección. En los meses de abril a junio, se realizaron 1.733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avanzando en el cumplimiento de la meta del Plan Operativo Anual (POA) en un 66% y se aplicaron1.447 medidas de seguridad.
Durante el segundo semestre, y con corte al 31 de agosto 2.022, se han realizado 1.192 inspecciones para esta disciplina, logrando un cumplimiento parcial de 3.935 inspecciones y un 95%.</t>
  </si>
  <si>
    <t>Dentro de las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se aplicaron 1.447 medidas de seguridad.
Durante el segundo semestre, y con corte al 31 de agosto 2.022, se han aplicado 691 mss para esta disciplina, logrando un parcial de 2.138 mss.</t>
  </si>
  <si>
    <t>En el primer semestre del 2022 las importaciones y exportaciones aprobadas y negadas de alimentos y bebidas correspondieron a un total de 35.270 CIS, con un incremento del 11% correspondientes a 3.513 CIS, con respecto al primer semestre del 2021.El índice de oportunidad se cumple, al estar por encima del 95%, sin embargo, el resultado de oportunidad de este trimestre aún está por debajo del valor del mismo trimestre en el año anterior cuando se logró 98.44 %, lo que lleva a profundizar sus causas y buscar alternativas de mantenimiento y/o mejora del indicador en los trimestres siguientes.  
Una de las causas corresponde a los rezagos que aún quedan de la contingencia que se presentó en el instituto por el ataque a nuestros sistemas informáticos, dejando fuera de funcionamiento el aplicativo Sivicos desde el 6 hasta el 25 de febrero de 2022 fecha en la que se reinició parcial y escalonadamente para algunos PAPF y hasta finales del mes de marzo con la entrada en operación de la totalidad del sistema en Cartagena.  
El porcentaje de oportunidad sigue viéndose afectado por las demoras que se presentan en algunos casos, cuando se han presentado intermitencias en el servicio del aplicativo Sivicos la principal herramienta informática para la gestión de todos los tramites, la no disponibilidad de este ya llevado a un retraso en los tiempos de emisión de los CIS.  
Deficiencia de recursos humanos en algunos PAPF como Cartagena, que en el transcurso del 2022 han mostrado un incremento del 9,3 % con respecto al 2021, con un 46,5% del total de tramites a nivel nacional del grupo de control en PAPF, incrementándose su participación con respecto al año anterior, lo que ha ocasionado que se recargue laboralmente el personal de este puerto a pesar del apoyo que se puede realizar desde la agenda nacional. 
En este segundo trimestre se logró retomar la operación con el aplicativo Sivicos en todos los PAPF, pero con intermitencias en su funcionamiento, no permitiendo que los tiempos de respuesta sean los óptimos en, con lo cual se han planteado estrategias de alargue de turnos y trabajo en tiempo adicional, para disminuir el impacto- 
Trámites pendientes por causas atribuibles al usuario, como por ejemplo el tiempo para subsanar requerimientos. 
Se están desarrollando reuniones con la oficina de tecnología para definir el procedimiento para el cargue de los soportes de todos los tramites que se generaron en la contingencia, es una tarea que demanda mucho tiempo y no se cuenta con el personal para desarrollar esta tarea necesaria.  
Durante este segundo trimestre se ha seguido recibiendo apoyo por parte de funcionarios de los GTT los cueles recibieron un entrenamiento, sin embargo, el ritmo de respuesta para estos trámites era menor debido a la falta de experiencia.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y solicitados tanto interna como externamente. 
En este periodo por orientación de la Dirección de Operaciones Sanitarias se decidió continuar con la entregar a cada PAPF el control de la operación del agendamiento local, asignando trámites a los funcionarios de este PAPF. Sin embargo, se ha continuado brindando apoyo a los puertos de Cartagena y Buenaventura según disponibilidad de funcionarios de otros PAPF en la verificación documental y eventualmente de funcionarios del GTT, específicamente veterinarios para inspecciones de productos cárnicos. Estos dos puertos, realizaron el 73,0% del total a nivel nacional.  
Continuar desde la Coordinación de PAPF con la gestión de recursos a través de la Dirección de Operaciones Sanitarias y Talento Humano.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 
Continuar con el seguimiento de este indicador mes a mes en pro de revisar acciones antes de finalizar el trimestre. 
Durante el segundo semestre, y con corte al 31 de agosto 2.022, se han realizado 12.790 cis para esta disciplina, logrando un cumplimiento parcial de 48.060 cis y un 76%.</t>
  </si>
  <si>
    <t>Durante el primer semestre se han atendido de manera satisfactoria 1.632 solicitudes de Autorización de Importación. Dentro de lo proyectado para el trimestre se supera en una 19,5 % la meta (650 trámites). Si la tendencia continua para el segundo semestre se solicitará el ajuste correspondiente.
Durante el segundo semestre, y con corte al 31 de agosto 2.022, se han realizado 538 autorizaciones para esta disciplina, logrando un cumplimiento parcial de 2.175 inspecciones y un 84%.</t>
  </si>
  <si>
    <t>Durante el primer semestre se realizaron cinco (5) visitas de verificación de autorización importación, para productos relacionados con reactivos de diagnóstico In-Vitro, llegando a la meta del 33,35% de lo planteado.
Durante el segundo semestre, y con corte al 31 de agosto 2.022, se han realizado 6 inspecciones para esta disciplina, logrando un cumplimiento parcial de 11 inspecciones y un 73%</t>
  </si>
  <si>
    <t>Reporte POA a 31 de Agosto a la OAP
Fila 10 POA, acción institucional DO03</t>
  </si>
  <si>
    <t>Reporte POA a 31 de Agosto a la OAP
Fila 11 POA, acción institucional DO04</t>
  </si>
  <si>
    <t>Reporte POA a 31 de Agosto a la OAP
Fila 12 POA, acción institucional DO05</t>
  </si>
  <si>
    <t>Reporte POA a 31 de Agosto a la OAP
Fila 13 POA, acción institucional DO06</t>
  </si>
  <si>
    <t>Reporte POA a 31 de Agosto a la OAP
Fila 14 POA, acción institucional DO07</t>
  </si>
  <si>
    <t>Reporte POA a 31 de Agosto a la OAP
Fila 29 POA, acción institucional DO22</t>
  </si>
  <si>
    <t>Reporte POA a 31 de Agosto a la OAP
Fila 17 POA, acción institucional DO10</t>
  </si>
  <si>
    <t>Reporte POA a 31 de Agosto a la OAP
Fila 18 POA, acción institucional DO11</t>
  </si>
  <si>
    <t>Reporte POA a 31 de Agosto a la OAP
Fila 19 POA, acción institucional DO12</t>
  </si>
  <si>
    <t>Reporte POA a 31 de Agosto a la OAP
DATOS INFORMATIVOS ADICIONALES APLICA
Fila 40 POA</t>
  </si>
  <si>
    <t xml:space="preserve">Desde el Grupo de Autorizaciones y Licencias para Importación y Exportación nos permitimos indicar que se atiende el 100% de la solicitudes de Autorización de importación de medicamentos vitales no disponibles asociadas a Tutela acorde a la indicaciones señaladas en el fallo de tutela promulgado por el Juez del caso. De acuerdo con lo dispuesto por el fallo de tutela se acata lo promulgado en el fallo y se procede con la gestión del 100% del total de los tramites de autorización de importación indicados para tal fin que se recibieron durante el primer semestre. El total de trámites asociados a Tutelas atendidas en el primer semestre son: 71 trámites
Se busca proponer que la plataforma del Invima permita realizar la notificación directa desde esta y no tenga que apoyarse en plataforma diferentes a la propias de la entidad.
  Durante el segundo semestre, y con corte al 31 de agosto 2.022, se han realizado 103 trámites asociados a tutelas atendidas.
</t>
  </si>
  <si>
    <t>Para el primer semestre de 2022 en lo que refiere a este logro de gestión se desarrolló 4 actividades de acompañamiento para los procesos de formalización de los trapiches paneleros en los departamentos de Caldas, Huila, Antioquia y Cundinamarca, encaminadas a la socialización de la normatividad especifica y unificación técnica de criterios. De igual manera se realiza análisis de bases de datos para la ejecución del listado priorizado de alimentos del tercer trimestre del año.
Para el segundo semestre y con corte al 31 de agosto, se ha avanzado en esta actividad mediante visitas de inspección, vigilancia y control realizando un parcial de 315.</t>
  </si>
  <si>
    <t>Dentro de las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se aplicaron 1.447 medidas de seguridad.
Durante el segundo semestre, y con corte al 31 de agosto 2.022, se han aplicado 691 mss para esta disciplina, logrando un parcial de 2.138 mss. POA - Base por demanda reactiva (2254)</t>
  </si>
  <si>
    <t>Sandra Patricia Gomez Montoya</t>
  </si>
  <si>
    <t>Cantidades logradas</t>
  </si>
  <si>
    <t>104</t>
  </si>
  <si>
    <t>3767</t>
  </si>
  <si>
    <t>En el segundo semestre se  realizaron 53 visitas. Se mantiene el POA anual de 100 visitas para esta disciplina y se ejecutaron 104 visitas para un porcentaje total de cumplimiento de más del 100%.</t>
  </si>
  <si>
    <t>Las visitas de inspección vigilancia y control en la disciplina de Cosméticos, Aseo, Plaguicidas y Productos de Higiene Domestica, tuvo una ejecución para este segundo semestre de 285 visitas.  Es de aclarar que el POA anual para esta disciplina es de 440 visitas y se ejecutaron un total de 469 visitas para un porcentaje total de cumplimiento de más del 100%.</t>
  </si>
  <si>
    <t>Las visitas de inspección vigilancia y control en la disciplina de Dispositivos Médicos para el año 2022 cuenta con una meta de 430 visitas a lo cual finalizando el segundo semestre presentó una ejecución de 450 visitas atendidas de enero a diciembre con un porcentaje de cumplimiento de 104.6 %.</t>
  </si>
  <si>
    <t>La meta POA concertada para el año 2022 fue de 520 visitas IVC, para el mes de julio se realiza solicitud de ajuste de meta POA dado que la misional no remitió la totalidad de la planificación de visitas IVC (260) correspondientes al 50 % que debía ser ejecutado en los dos primeros trimestres. De acuerdo con la aprobación de ajuste para el año 2022, queda establecido como nueva meta POA 470 visitas de visitas IVC. Al finalizar el año se ejecutaron 334 visitas por Mapa de riesgo y 157 visitas por demanda, para un total de 491 visitas realizadas que corresponden al 104.5 % de la meta POA anual.  El excedente ejecutado corresponde a visitas extraordinarias de prioridad alta durante el último trimestre.</t>
  </si>
  <si>
    <t>En el año 2022 se realizaron un total de 10004 visitas de IVC, superando la meta propuesta de 8600 en 1404 visitas que equivalen al 16,34% más de lo proyectado. De estas visitas se realizaron 6289 visitas atendiendo el listado priorizado que equivale al 63% de las visitas realizadas. De igual manera se realizaron 3713 visitas atendiendo la demanda que equivale al 37% del total de visitas realizadas en el año 2022
De las visitas generadas en el año 2022 el 61% (6110 visitas) generaron concepto y calificación y el 39% (3894 visitas) generaron diligencia.
En el cuarto trimestre se generaron un total de 1993 visitas de IVC, de las cuales 957 visitas se generaron a más de 75 Km que equivalen al 48% y 1036 a menos de 75 Km que representn el 52% de las visitas generadas</t>
  </si>
  <si>
    <t xml:space="preserve">En el cuarto trimestre del año 2022, de octubre a diciembre, se realizaron 1.263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alcanzando un cumplimiento de meta del Plan Operativo Anual (POA) en un 140%. </t>
  </si>
  <si>
    <t>En el cuarto trimestre del 2022 se expidieron 19.502 Certificados de Inspección Sanitaria de importación y exportación de alimentos y bebidas, aprobados y negados, representando una disminución del 8,6% correspondientes a 1.828 CIS respecto al cuarto trimestre del 2021 con 21.330 CIS y un incremento del 0,26% referente el trimestre anterior (Julio – septiembre de 2022), en el que se expidieron 19.452 CIS. En el año 2022 el total de CIS expedidos fue de 74.247 con un incremento del 4,3% representados en 3.042 CIS, sobre los 71.205 expedidos en el 2021.</t>
  </si>
  <si>
    <t xml:space="preserve">Durante el segundo semestre se han atendido de manera satisfactoria 1321 solicitudes de Autorización de Importación cumpliendo con la meta establecida para el año.  </t>
  </si>
  <si>
    <t xml:space="preserve">Durante el cuarto trimestre se realizó diez (10) visitas de verificación de autorización importación, para productos relacionados con reactivos de diagnóstico In-Vitro, llegando a la meta del 100% de lo planteado. </t>
  </si>
  <si>
    <t xml:space="preserve">Para el segundo semestre de 2022 en lo que refiere a este logro de gestión se completó el acompañamiento para los procesos de formalización de los trapiches paneleros en los departamentos de Caldas, Huila, Antioquia y Cundinamarca, encaminadas a la socialización de la normatividad especifica y unificación técnica de criterios. De igual manera se realiza análisis de bases de datos para la ejecución del listado priorizado de alimentos del segundo semestre del año.
</t>
  </si>
  <si>
    <t>119</t>
  </si>
  <si>
    <t>633</t>
  </si>
  <si>
    <t>74.247</t>
  </si>
  <si>
    <t>2.958</t>
  </si>
  <si>
    <t>5.831</t>
  </si>
  <si>
    <t>10.004</t>
  </si>
  <si>
    <t>Francisco Augusto Giuseppe Rossi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</si>
</sst>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65"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b/>
      <sz val="18"/>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sz val="18"/>
      <color theme="1"/>
      <name val="Arial"/>
      <family val="2"/>
    </font>
    <font>
      <sz val="18"/>
      <name val="Arial"/>
      <family val="2"/>
    </font>
    <font>
      <b/>
      <sz val="20"/>
      <name val="Arial"/>
      <family val="2"/>
    </font>
    <font>
      <b/>
      <sz val="16"/>
      <color theme="0" tint="-0.14999847407452621"/>
      <name val="Arial"/>
      <family val="2"/>
    </font>
    <font>
      <b/>
      <sz val="16"/>
      <name val="Arial"/>
      <family val="2"/>
    </font>
    <font>
      <b/>
      <sz val="28"/>
      <name val="Arial"/>
      <family val="2"/>
    </font>
    <font>
      <sz val="24"/>
      <color theme="1"/>
      <name val="Arial"/>
      <family val="2"/>
    </font>
    <font>
      <sz val="24"/>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theme="3" tint="0.59999389629810485"/>
        <bgColor indexed="64"/>
      </patternFill>
    </fill>
    <fill>
      <patternFill patternType="solid">
        <fgColor rgb="FF00B0F0"/>
        <bgColor indexed="64"/>
      </patternFill>
    </fill>
  </fills>
  <borders count="7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right style="thin">
        <color auto="1"/>
      </right>
      <top style="medium">
        <color auto="1"/>
      </top>
      <bottom style="medium">
        <color auto="1"/>
      </bottom>
      <diagonal/>
    </border>
    <border>
      <left style="medium">
        <color rgb="FF000000"/>
      </left>
      <right/>
      <top style="medium">
        <color auto="1"/>
      </top>
      <bottom style="medium">
        <color rgb="FF000000"/>
      </bottom>
      <diagonal/>
    </border>
    <border>
      <left/>
      <right style="medium">
        <color rgb="FF000000"/>
      </right>
      <top style="medium">
        <color auto="1"/>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top style="thin">
        <color auto="1"/>
      </top>
      <bottom style="medium">
        <color indexed="64"/>
      </bottom>
      <diagonal/>
    </border>
    <border>
      <left/>
      <right style="medium">
        <color rgb="FF000000"/>
      </right>
      <top style="medium">
        <color rgb="FF000000"/>
      </top>
      <bottom style="medium">
        <color rgb="FF000000"/>
      </bottom>
      <diagonal/>
    </border>
    <border>
      <left style="medium">
        <color rgb="FF000000"/>
      </left>
      <right/>
      <top style="medium">
        <color auto="1"/>
      </top>
      <bottom/>
      <diagonal/>
    </border>
    <border>
      <left style="thin">
        <color rgb="FF000000"/>
      </left>
      <right style="thin">
        <color rgb="FF000000"/>
      </right>
      <top/>
      <bottom style="thin">
        <color rgb="FF000000"/>
      </bottom>
      <diagonal/>
    </border>
  </borders>
  <cellStyleXfs count="13">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71">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5" fillId="7" borderId="37" xfId="0" applyFont="1" applyFill="1" applyBorder="1" applyAlignment="1">
      <alignment horizontal="center" vertical="center" wrapText="1"/>
    </xf>
    <xf numFmtId="0" fontId="45" fillId="7" borderId="37" xfId="0" applyFont="1" applyFill="1" applyBorder="1" applyAlignment="1">
      <alignment horizontal="center" vertical="center"/>
    </xf>
    <xf numFmtId="0" fontId="46" fillId="0" borderId="0" xfId="0" applyFont="1" applyProtection="1">
      <protection locked="0"/>
    </xf>
    <xf numFmtId="9" fontId="47" fillId="11" borderId="57"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9" fontId="47" fillId="11" borderId="37" xfId="1" applyFont="1" applyFill="1" applyBorder="1" applyAlignment="1" applyProtection="1">
      <alignment horizontal="center" vertical="center"/>
    </xf>
    <xf numFmtId="0" fontId="40" fillId="8" borderId="46" xfId="0" applyFont="1" applyFill="1" applyBorder="1" applyAlignment="1" applyProtection="1">
      <alignment horizontal="center" vertical="center"/>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0" fontId="13" fillId="8" borderId="47" xfId="0" applyFont="1" applyFill="1" applyBorder="1" applyProtection="1">
      <protection locked="0"/>
    </xf>
    <xf numFmtId="0" fontId="43" fillId="8" borderId="0" xfId="0" applyFont="1" applyFill="1" applyAlignment="1" applyProtection="1">
      <alignment horizontal="center" vertical="center"/>
      <protection locked="0"/>
    </xf>
    <xf numFmtId="0" fontId="13" fillId="0" borderId="30" xfId="0" applyFont="1" applyBorder="1" applyProtection="1">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0" fontId="13" fillId="8" borderId="47" xfId="0" applyFont="1" applyFill="1" applyBorder="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1" fillId="0" borderId="0" xfId="0" applyFont="1" applyProtection="1">
      <protection locked="0"/>
    </xf>
    <xf numFmtId="2" fontId="4" fillId="0" borderId="0" xfId="0" applyNumberFormat="1" applyFont="1" applyProtection="1">
      <protection locked="0"/>
    </xf>
    <xf numFmtId="0" fontId="23" fillId="12" borderId="0" xfId="0" applyFont="1" applyFill="1"/>
    <xf numFmtId="0" fontId="54" fillId="8" borderId="0" xfId="0" applyFont="1" applyFill="1" applyAlignment="1">
      <alignment horizontal="center" vertical="center" wrapText="1"/>
    </xf>
    <xf numFmtId="0" fontId="55"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6" fillId="8" borderId="37" xfId="0" applyFont="1" applyFill="1" applyBorder="1" applyAlignment="1">
      <alignment horizontal="center" vertical="center"/>
    </xf>
    <xf numFmtId="0" fontId="56" fillId="8" borderId="37" xfId="0" applyFont="1" applyFill="1" applyBorder="1" applyAlignment="1">
      <alignment horizontal="center" vertical="center" wrapText="1"/>
    </xf>
    <xf numFmtId="9" fontId="42" fillId="0" borderId="2" xfId="1" applyFont="1" applyFill="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39" fillId="8" borderId="0" xfId="0" applyFont="1" applyFill="1" applyAlignment="1" applyProtection="1">
      <alignment vertical="center" wrapText="1"/>
      <protection locked="0"/>
    </xf>
    <xf numFmtId="0" fontId="4" fillId="0" borderId="0" xfId="0" applyFont="1" applyAlignment="1" applyProtection="1">
      <alignment wrapText="1"/>
      <protection locked="0"/>
    </xf>
    <xf numFmtId="0" fontId="42" fillId="0" borderId="4" xfId="0" applyFont="1" applyBorder="1" applyAlignment="1" applyProtection="1">
      <alignment vertical="center" wrapText="1"/>
      <protection locked="0"/>
    </xf>
    <xf numFmtId="0" fontId="42" fillId="0" borderId="1" xfId="0" applyFont="1" applyBorder="1" applyAlignment="1" applyProtection="1">
      <alignment vertical="center" wrapText="1"/>
      <protection locked="0"/>
    </xf>
    <xf numFmtId="0" fontId="42" fillId="0" borderId="2" xfId="0" applyFont="1" applyBorder="1" applyAlignment="1" applyProtection="1">
      <alignment vertical="center" wrapText="1"/>
      <protection locked="0"/>
    </xf>
    <xf numFmtId="0" fontId="44" fillId="7" borderId="39" xfId="0" applyFont="1" applyFill="1" applyBorder="1" applyAlignment="1" applyProtection="1">
      <alignment vertical="center" wrapText="1"/>
      <protection locked="0"/>
    </xf>
    <xf numFmtId="0" fontId="42" fillId="8" borderId="4" xfId="0" applyFont="1" applyFill="1" applyBorder="1" applyAlignment="1" applyProtection="1">
      <alignment horizontal="justify" vertical="center"/>
      <protection locked="0"/>
    </xf>
    <xf numFmtId="14" fontId="32" fillId="8" borderId="1" xfId="0" applyNumberFormat="1" applyFont="1" applyFill="1" applyBorder="1" applyAlignment="1">
      <alignment horizontal="center" vertical="center"/>
    </xf>
    <xf numFmtId="14" fontId="38" fillId="8" borderId="26" xfId="0" applyNumberFormat="1" applyFont="1" applyFill="1" applyBorder="1" applyAlignment="1">
      <alignment horizontal="center"/>
    </xf>
    <xf numFmtId="9" fontId="47" fillId="8" borderId="7" xfId="1" applyFont="1" applyFill="1" applyBorder="1" applyAlignment="1" applyProtection="1">
      <alignment horizontal="center" vertical="center" wrapText="1"/>
      <protection locked="0"/>
    </xf>
    <xf numFmtId="0" fontId="42" fillId="0" borderId="1" xfId="0" applyFont="1" applyBorder="1" applyProtection="1">
      <protection locked="0"/>
    </xf>
    <xf numFmtId="9" fontId="42" fillId="0" borderId="3" xfId="0" applyNumberFormat="1" applyFont="1" applyBorder="1" applyAlignment="1" applyProtection="1">
      <alignment horizontal="center" vertical="center" wrapText="1"/>
      <protection locked="0"/>
    </xf>
    <xf numFmtId="9" fontId="42" fillId="0" borderId="3" xfId="1" applyFont="1" applyFill="1" applyBorder="1" applyAlignment="1" applyProtection="1">
      <alignment horizontal="center" vertical="center" wrapText="1"/>
      <protection locked="0"/>
    </xf>
    <xf numFmtId="9" fontId="48" fillId="0" borderId="3" xfId="1" applyFont="1" applyFill="1" applyBorder="1" applyAlignment="1" applyProtection="1">
      <alignment horizontal="center" vertical="center" wrapText="1"/>
    </xf>
    <xf numFmtId="166" fontId="38" fillId="7" borderId="1" xfId="1" applyNumberFormat="1" applyFont="1" applyFill="1" applyBorder="1" applyAlignment="1">
      <alignment horizontal="center" vertical="center"/>
    </xf>
    <xf numFmtId="0" fontId="45" fillId="7" borderId="67" xfId="0" applyFont="1" applyFill="1" applyBorder="1" applyAlignment="1">
      <alignment horizontal="center" vertical="center" wrapText="1"/>
    </xf>
    <xf numFmtId="0" fontId="45" fillId="7" borderId="68" xfId="0" applyFont="1" applyFill="1" applyBorder="1" applyAlignment="1">
      <alignment horizontal="center" vertical="center" wrapText="1"/>
    </xf>
    <xf numFmtId="0" fontId="45" fillId="7" borderId="70" xfId="0" applyFont="1" applyFill="1" applyBorder="1" applyAlignment="1">
      <alignment horizontal="center" vertical="center" wrapText="1"/>
    </xf>
    <xf numFmtId="1" fontId="47" fillId="11" borderId="17" xfId="0" applyNumberFormat="1" applyFont="1" applyFill="1" applyBorder="1" applyAlignment="1">
      <alignment horizontal="center" vertical="center"/>
    </xf>
    <xf numFmtId="9" fontId="47" fillId="11" borderId="17" xfId="0" applyNumberFormat="1" applyFont="1" applyFill="1" applyBorder="1" applyAlignment="1">
      <alignment horizontal="center" vertical="center"/>
    </xf>
    <xf numFmtId="9" fontId="48" fillId="8" borderId="49" xfId="0" applyNumberFormat="1" applyFont="1" applyFill="1" applyBorder="1" applyAlignment="1" applyProtection="1">
      <alignment horizontal="center" vertical="center" wrapText="1"/>
      <protection locked="0"/>
    </xf>
    <xf numFmtId="9" fontId="42" fillId="6" borderId="4" xfId="1" applyFont="1" applyFill="1" applyBorder="1" applyAlignment="1" applyProtection="1">
      <alignment horizontal="center" vertical="center" wrapText="1"/>
      <protection locked="0"/>
    </xf>
    <xf numFmtId="9" fontId="42" fillId="6" borderId="1" xfId="1" applyFont="1" applyFill="1" applyBorder="1" applyAlignment="1" applyProtection="1">
      <alignment horizontal="center" vertical="center" wrapText="1"/>
      <protection locked="0"/>
    </xf>
    <xf numFmtId="0" fontId="42" fillId="6" borderId="4" xfId="0" applyFont="1" applyFill="1" applyBorder="1" applyAlignment="1" applyProtection="1">
      <alignment vertical="center" wrapText="1"/>
      <protection locked="0"/>
    </xf>
    <xf numFmtId="0" fontId="42" fillId="6" borderId="1" xfId="0" applyFont="1" applyFill="1" applyBorder="1" applyAlignment="1" applyProtection="1">
      <alignment vertical="center" wrapText="1"/>
      <protection locked="0"/>
    </xf>
    <xf numFmtId="0" fontId="42" fillId="0" borderId="1" xfId="0" applyFont="1" applyBorder="1" applyAlignment="1" applyProtection="1">
      <alignment horizontal="center" vertical="center" wrapText="1"/>
      <protection locked="0"/>
    </xf>
    <xf numFmtId="9" fontId="42" fillId="0" borderId="4" xfId="0" applyNumberFormat="1" applyFont="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166" fontId="47" fillId="11" borderId="37" xfId="1" applyNumberFormat="1" applyFont="1" applyFill="1" applyBorder="1" applyAlignment="1" applyProtection="1">
      <alignment horizontal="center" vertical="center"/>
    </xf>
    <xf numFmtId="166" fontId="42" fillId="0" borderId="2" xfId="1" applyNumberFormat="1" applyFont="1" applyFill="1" applyBorder="1" applyAlignment="1" applyProtection="1">
      <alignment horizontal="center" vertical="center" wrapText="1"/>
      <protection locked="0"/>
    </xf>
    <xf numFmtId="166" fontId="47" fillId="11" borderId="37" xfId="0" applyNumberFormat="1" applyFont="1" applyFill="1" applyBorder="1" applyAlignment="1">
      <alignment horizontal="center" vertical="center"/>
    </xf>
    <xf numFmtId="0" fontId="42" fillId="8" borderId="1" xfId="0" applyFont="1" applyFill="1" applyBorder="1" applyAlignment="1" applyProtection="1">
      <alignment vertical="center" wrapText="1"/>
      <protection locked="0"/>
    </xf>
    <xf numFmtId="0" fontId="42" fillId="8" borderId="47" xfId="0" applyFont="1" applyFill="1" applyBorder="1" applyProtection="1">
      <protection locked="0"/>
    </xf>
    <xf numFmtId="0" fontId="42" fillId="8" borderId="1" xfId="0" applyFont="1" applyFill="1" applyBorder="1" applyProtection="1">
      <protection locked="0"/>
    </xf>
    <xf numFmtId="0" fontId="42" fillId="8" borderId="1" xfId="0" applyFont="1" applyFill="1" applyBorder="1" applyAlignment="1" applyProtection="1">
      <alignment horizontal="center" vertical="center" wrapText="1"/>
      <protection locked="0"/>
    </xf>
    <xf numFmtId="9" fontId="60" fillId="11" borderId="17" xfId="1" applyFont="1" applyFill="1" applyBorder="1" applyAlignment="1" applyProtection="1">
      <alignment horizontal="center" vertical="center"/>
    </xf>
    <xf numFmtId="9" fontId="48" fillId="0" borderId="4" xfId="1" applyFont="1" applyBorder="1" applyAlignment="1" applyProtection="1">
      <alignment horizontal="center" vertical="center" wrapText="1"/>
      <protection locked="0"/>
    </xf>
    <xf numFmtId="9" fontId="48" fillId="0" borderId="2" xfId="1" applyFont="1" applyFill="1" applyBorder="1" applyAlignment="1" applyProtection="1">
      <alignment horizontal="center" vertical="center" wrapText="1"/>
      <protection locked="0"/>
    </xf>
    <xf numFmtId="9" fontId="61" fillId="11" borderId="37" xfId="1" applyFont="1" applyFill="1" applyBorder="1" applyAlignment="1" applyProtection="1">
      <alignment horizontal="center" vertical="center"/>
    </xf>
    <xf numFmtId="0" fontId="48" fillId="0" borderId="4" xfId="0" applyFont="1" applyBorder="1" applyAlignment="1" applyProtection="1">
      <alignment vertical="center" wrapText="1"/>
      <protection locked="0"/>
    </xf>
    <xf numFmtId="0" fontId="48" fillId="0" borderId="1" xfId="0" applyFont="1" applyBorder="1" applyAlignment="1" applyProtection="1">
      <alignment vertical="center" wrapText="1"/>
      <protection locked="0"/>
    </xf>
    <xf numFmtId="9" fontId="48" fillId="0" borderId="1" xfId="1" applyFont="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9" fontId="61" fillId="11" borderId="57" xfId="0" applyNumberFormat="1" applyFont="1" applyFill="1" applyBorder="1" applyAlignment="1">
      <alignment horizontal="center" vertical="center"/>
    </xf>
    <xf numFmtId="1" fontId="61" fillId="11" borderId="37" xfId="0" applyNumberFormat="1" applyFont="1" applyFill="1" applyBorder="1" applyAlignment="1">
      <alignment horizontal="center" vertical="center"/>
    </xf>
    <xf numFmtId="166" fontId="61" fillId="11" borderId="37" xfId="1" applyNumberFormat="1" applyFont="1" applyFill="1" applyBorder="1" applyAlignment="1" applyProtection="1">
      <alignment horizontal="center" vertical="center"/>
    </xf>
    <xf numFmtId="9" fontId="61" fillId="11" borderId="37" xfId="0" applyNumberFormat="1" applyFont="1" applyFill="1" applyBorder="1" applyAlignment="1">
      <alignment horizontal="center" vertical="center"/>
    </xf>
    <xf numFmtId="9" fontId="61" fillId="8" borderId="7" xfId="1" applyFont="1" applyFill="1" applyBorder="1" applyAlignment="1" applyProtection="1">
      <alignment horizontal="center" vertical="center" wrapText="1"/>
      <protection locked="0"/>
    </xf>
    <xf numFmtId="0" fontId="59" fillId="7" borderId="39" xfId="0" applyFont="1" applyFill="1" applyBorder="1" applyAlignment="1" applyProtection="1">
      <alignment vertical="center" wrapText="1"/>
      <protection locked="0"/>
    </xf>
    <xf numFmtId="0" fontId="48" fillId="0" borderId="2" xfId="0" applyFont="1" applyBorder="1" applyAlignment="1" applyProtection="1">
      <alignment vertical="center" wrapText="1"/>
      <protection locked="0"/>
    </xf>
    <xf numFmtId="0" fontId="48" fillId="8" borderId="4" xfId="0" applyFont="1" applyFill="1" applyBorder="1" applyAlignment="1" applyProtection="1">
      <alignment horizontal="justify" vertical="center"/>
      <protection locked="0"/>
    </xf>
    <xf numFmtId="9" fontId="48" fillId="0" borderId="3" xfId="0" applyNumberFormat="1" applyFont="1" applyBorder="1" applyAlignment="1" applyProtection="1">
      <alignment horizontal="center" vertical="center" wrapText="1"/>
      <protection locked="0"/>
    </xf>
    <xf numFmtId="166" fontId="48" fillId="0" borderId="2" xfId="1" applyNumberFormat="1" applyFont="1" applyFill="1" applyBorder="1" applyAlignment="1" applyProtection="1">
      <alignment horizontal="center" vertical="center" wrapText="1"/>
      <protection locked="0"/>
    </xf>
    <xf numFmtId="0" fontId="61" fillId="0" borderId="2" xfId="0" applyFont="1" applyBorder="1" applyAlignment="1" applyProtection="1">
      <alignment vertical="center" wrapText="1"/>
      <protection locked="0"/>
    </xf>
    <xf numFmtId="9" fontId="61" fillId="11" borderId="17" xfId="1" applyFont="1" applyFill="1" applyBorder="1" applyAlignment="1" applyProtection="1">
      <alignment horizontal="center" vertical="center"/>
    </xf>
    <xf numFmtId="9" fontId="42" fillId="0" borderId="4" xfId="1" applyFont="1" applyBorder="1" applyAlignment="1" applyProtection="1">
      <alignment horizontal="center" vertical="center" wrapText="1"/>
      <protection locked="0"/>
    </xf>
    <xf numFmtId="9" fontId="47" fillId="11" borderId="17" xfId="1" applyFont="1" applyFill="1" applyBorder="1" applyAlignment="1" applyProtection="1">
      <alignment horizontal="center" vertical="center"/>
    </xf>
    <xf numFmtId="43" fontId="47" fillId="0" borderId="0" xfId="0" applyNumberFormat="1" applyFont="1" applyAlignment="1" applyProtection="1">
      <alignment horizontal="center" vertical="center"/>
      <protection locked="0"/>
    </xf>
    <xf numFmtId="167" fontId="47" fillId="0" borderId="0" xfId="11" applyNumberFormat="1" applyFont="1" applyAlignment="1" applyProtection="1">
      <alignment horizontal="center" vertical="center"/>
      <protection locked="0"/>
    </xf>
    <xf numFmtId="43" fontId="47" fillId="0" borderId="0" xfId="11" applyFont="1" applyAlignment="1" applyProtection="1">
      <alignment horizontal="center" vertical="center"/>
      <protection locked="0"/>
    </xf>
    <xf numFmtId="167" fontId="47" fillId="14" borderId="17" xfId="11" applyNumberFormat="1" applyFont="1" applyFill="1" applyBorder="1" applyAlignment="1" applyProtection="1">
      <alignment horizontal="center" vertical="center"/>
      <protection locked="0"/>
    </xf>
    <xf numFmtId="166" fontId="47" fillId="14" borderId="19" xfId="1" applyNumberFormat="1" applyFont="1" applyFill="1" applyBorder="1" applyAlignment="1" applyProtection="1">
      <alignment horizontal="center" vertical="center"/>
      <protection locked="0"/>
    </xf>
    <xf numFmtId="166" fontId="47" fillId="14" borderId="0" xfId="1" applyNumberFormat="1" applyFont="1" applyFill="1" applyBorder="1" applyAlignment="1" applyProtection="1">
      <alignment horizontal="center" vertical="center"/>
      <protection locked="0"/>
    </xf>
    <xf numFmtId="167" fontId="47" fillId="15" borderId="0" xfId="11" applyNumberFormat="1" applyFont="1" applyFill="1" applyAlignment="1" applyProtection="1">
      <alignment horizontal="center" vertical="center"/>
      <protection locked="0"/>
    </xf>
    <xf numFmtId="9" fontId="42" fillId="0" borderId="72" xfId="1" applyFont="1" applyBorder="1" applyAlignment="1" applyProtection="1">
      <alignment horizontal="center" vertical="center" wrapText="1"/>
      <protection locked="0"/>
    </xf>
    <xf numFmtId="43" fontId="47" fillId="15" borderId="0" xfId="11" applyFont="1" applyFill="1" applyAlignment="1" applyProtection="1">
      <alignment horizontal="center" vertical="center"/>
      <protection locked="0"/>
    </xf>
    <xf numFmtId="9" fontId="57" fillId="0" borderId="0" xfId="1" applyFont="1" applyProtection="1">
      <protection locked="0"/>
    </xf>
    <xf numFmtId="9" fontId="0" fillId="0" borderId="0" xfId="1" applyFont="1"/>
    <xf numFmtId="166" fontId="0" fillId="0" borderId="0" xfId="1" applyNumberFormat="1" applyFont="1"/>
    <xf numFmtId="9" fontId="0" fillId="0" borderId="0" xfId="0" applyNumberFormat="1"/>
    <xf numFmtId="0" fontId="38" fillId="8" borderId="32" xfId="0" applyFont="1" applyFill="1" applyBorder="1" applyAlignment="1">
      <alignment horizontal="center"/>
    </xf>
    <xf numFmtId="0" fontId="39" fillId="10" borderId="0" xfId="0" applyFont="1" applyFill="1" applyAlignment="1">
      <alignment horizontal="center" vertical="center"/>
    </xf>
    <xf numFmtId="0" fontId="43" fillId="10" borderId="0" xfId="0" applyFont="1" applyFill="1" applyAlignment="1">
      <alignment horizontal="center" vertical="center"/>
    </xf>
    <xf numFmtId="0" fontId="45" fillId="7" borderId="0" xfId="0" applyFont="1" applyFill="1" applyAlignment="1">
      <alignment horizontal="center" vertical="center" wrapText="1"/>
    </xf>
    <xf numFmtId="0" fontId="45" fillId="7" borderId="44" xfId="0" applyFont="1" applyFill="1" applyBorder="1" applyAlignment="1">
      <alignment horizontal="center" vertical="center"/>
    </xf>
    <xf numFmtId="9" fontId="42" fillId="0" borderId="4" xfId="0" applyNumberFormat="1" applyFont="1" applyBorder="1" applyAlignment="1" applyProtection="1">
      <alignment vertical="center" wrapText="1"/>
      <protection locked="0"/>
    </xf>
    <xf numFmtId="49" fontId="42" fillId="0" borderId="4" xfId="0" applyNumberFormat="1" applyFont="1" applyBorder="1" applyAlignment="1" applyProtection="1">
      <alignment horizontal="center" vertical="center" wrapText="1"/>
      <protection locked="0"/>
    </xf>
    <xf numFmtId="9" fontId="60" fillId="0" borderId="37" xfId="1" applyFont="1" applyFill="1" applyBorder="1" applyAlignment="1" applyProtection="1">
      <alignment horizontal="center" vertical="center"/>
    </xf>
    <xf numFmtId="0" fontId="13" fillId="8" borderId="1" xfId="0" applyFont="1" applyFill="1" applyBorder="1" applyAlignment="1">
      <alignment horizontal="center" vertical="center" wrapText="1"/>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6" fillId="8" borderId="44" xfId="0" applyFont="1" applyFill="1" applyBorder="1" applyAlignment="1">
      <alignment horizontal="center" vertical="center" wrapText="1"/>
    </xf>
    <xf numFmtId="0" fontId="56" fillId="8" borderId="63" xfId="0" applyFont="1" applyFill="1" applyBorder="1" applyAlignment="1">
      <alignment horizontal="center" vertical="center" wrapText="1"/>
    </xf>
    <xf numFmtId="0" fontId="56"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5" fillId="8" borderId="0" xfId="0" applyFont="1" applyFill="1" applyAlignment="1">
      <alignment horizontal="center"/>
    </xf>
    <xf numFmtId="0" fontId="21" fillId="13" borderId="0" xfId="0" applyFont="1" applyFill="1" applyAlignment="1">
      <alignment horizontal="center" vertical="center"/>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0" fillId="6" borderId="37" xfId="0" applyFont="1" applyFill="1" applyBorder="1" applyAlignment="1">
      <alignment horizontal="left" vertical="top"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4" xfId="0" applyFont="1" applyFill="1" applyBorder="1" applyAlignment="1">
      <alignment vertical="center" wrapText="1"/>
    </xf>
    <xf numFmtId="0" fontId="16" fillId="6" borderId="1" xfId="0" applyFont="1" applyFill="1" applyBorder="1" applyAlignment="1">
      <alignment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57" fillId="8" borderId="58" xfId="0" applyFont="1" applyFill="1" applyBorder="1" applyAlignment="1" applyProtection="1">
      <alignment horizontal="center"/>
      <protection locked="0"/>
    </xf>
    <xf numFmtId="0" fontId="57" fillId="8" borderId="25" xfId="0" applyFont="1" applyFill="1" applyBorder="1" applyAlignment="1" applyProtection="1">
      <alignment horizontal="center"/>
      <protection locked="0"/>
    </xf>
    <xf numFmtId="0" fontId="57" fillId="8" borderId="24" xfId="0" applyFont="1" applyFill="1" applyBorder="1" applyAlignment="1" applyProtection="1">
      <alignment horizontal="center"/>
      <protection locked="0"/>
    </xf>
    <xf numFmtId="14" fontId="57" fillId="0" borderId="32" xfId="0" applyNumberFormat="1" applyFont="1" applyBorder="1" applyAlignment="1" applyProtection="1">
      <alignment horizontal="center"/>
      <protection locked="0"/>
    </xf>
    <xf numFmtId="0" fontId="43" fillId="8" borderId="13" xfId="0" applyFont="1" applyFill="1" applyBorder="1" applyAlignment="1" applyProtection="1">
      <alignment horizontal="center" vertical="center"/>
      <protection locked="0"/>
    </xf>
    <xf numFmtId="0" fontId="43" fillId="8" borderId="14" xfId="0" applyFont="1" applyFill="1" applyBorder="1" applyAlignment="1" applyProtection="1">
      <alignment horizontal="center" vertical="center"/>
      <protection locked="0"/>
    </xf>
    <xf numFmtId="0" fontId="43" fillId="8" borderId="15" xfId="0" applyFont="1" applyFill="1" applyBorder="1" applyAlignment="1" applyProtection="1">
      <alignment horizontal="center" vertical="center"/>
      <protection locked="0"/>
    </xf>
    <xf numFmtId="0" fontId="45" fillId="7" borderId="65" xfId="0" applyFont="1" applyFill="1" applyBorder="1" applyAlignment="1">
      <alignment horizontal="center" vertical="center" wrapText="1"/>
    </xf>
    <xf numFmtId="0" fontId="45" fillId="7" borderId="66" xfId="0" applyFont="1" applyFill="1" applyBorder="1" applyAlignment="1">
      <alignment horizontal="center" vertical="center" wrapText="1"/>
    </xf>
    <xf numFmtId="0" fontId="64" fillId="8" borderId="58" xfId="0" applyFont="1" applyFill="1" applyBorder="1" applyAlignment="1" applyProtection="1">
      <alignment horizontal="center"/>
      <protection locked="0"/>
    </xf>
    <xf numFmtId="0" fontId="64" fillId="8" borderId="25" xfId="0" applyFont="1" applyFill="1" applyBorder="1" applyAlignment="1" applyProtection="1">
      <alignment horizontal="center"/>
      <protection locked="0"/>
    </xf>
    <xf numFmtId="0" fontId="64" fillId="8" borderId="24" xfId="0" applyFont="1" applyFill="1" applyBorder="1" applyAlignment="1" applyProtection="1">
      <alignment horizontal="center"/>
      <protection locked="0"/>
    </xf>
    <xf numFmtId="0" fontId="59" fillId="8" borderId="69" xfId="0" applyFont="1" applyFill="1" applyBorder="1" applyAlignment="1" applyProtection="1">
      <alignment horizontal="center" vertical="center"/>
      <protection locked="0"/>
    </xf>
    <xf numFmtId="0" fontId="59" fillId="8" borderId="61" xfId="0" applyFont="1" applyFill="1" applyBorder="1" applyAlignment="1" applyProtection="1">
      <alignment horizontal="center" vertical="center"/>
      <protection locked="0"/>
    </xf>
    <xf numFmtId="0" fontId="59" fillId="8" borderId="62" xfId="0" applyFont="1" applyFill="1" applyBorder="1" applyAlignment="1" applyProtection="1">
      <alignment horizontal="center" vertical="center"/>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64" xfId="0" applyFont="1" applyFill="1" applyBorder="1" applyAlignment="1" applyProtection="1">
      <alignment horizontal="center" vertical="center"/>
      <protection locked="0"/>
    </xf>
    <xf numFmtId="0" fontId="49" fillId="8" borderId="58" xfId="0" applyFont="1" applyFill="1" applyBorder="1" applyAlignment="1" applyProtection="1">
      <alignment horizontal="left" vertical="center" wrapText="1"/>
      <protection locked="0"/>
    </xf>
    <xf numFmtId="0" fontId="49" fillId="8" borderId="25" xfId="0" applyFont="1" applyFill="1" applyBorder="1" applyAlignment="1" applyProtection="1">
      <alignment horizontal="left" vertical="center" wrapText="1"/>
      <protection locked="0"/>
    </xf>
    <xf numFmtId="0" fontId="49" fillId="8" borderId="59" xfId="0" applyFont="1" applyFill="1" applyBorder="1" applyAlignment="1" applyProtection="1">
      <alignment horizontal="left" vertical="center" wrapText="1"/>
      <protection locked="0"/>
    </xf>
    <xf numFmtId="9" fontId="42" fillId="0" borderId="2" xfId="1" applyFont="1" applyFill="1" applyBorder="1" applyAlignment="1" applyProtection="1">
      <alignment horizontal="center" vertical="center" wrapText="1"/>
      <protection locked="0"/>
    </xf>
    <xf numFmtId="9" fontId="42" fillId="0" borderId="3" xfId="1" applyFont="1" applyFill="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9" fontId="48" fillId="0" borderId="1" xfId="1" applyFont="1" applyFill="1" applyBorder="1" applyAlignment="1" applyProtection="1">
      <alignment horizontal="center" vertical="center" wrapText="1"/>
    </xf>
    <xf numFmtId="9" fontId="42" fillId="0" borderId="4" xfId="1" applyFont="1" applyBorder="1" applyAlignment="1" applyProtection="1">
      <alignment horizontal="center" vertical="center" wrapText="1"/>
      <protection locked="0"/>
    </xf>
    <xf numFmtId="9" fontId="48" fillId="0" borderId="36" xfId="1" applyFont="1" applyFill="1" applyBorder="1" applyAlignment="1" applyProtection="1">
      <alignment horizontal="center" vertical="center" wrapText="1"/>
    </xf>
    <xf numFmtId="9" fontId="48" fillId="0" borderId="3" xfId="1" applyFont="1" applyFill="1" applyBorder="1" applyAlignment="1" applyProtection="1">
      <alignment horizontal="center" vertical="center" wrapText="1"/>
    </xf>
    <xf numFmtId="9" fontId="42" fillId="0" borderId="1" xfId="1" applyFont="1" applyBorder="1" applyAlignment="1" applyProtection="1">
      <alignment horizontal="center" vertical="center" wrapText="1"/>
    </xf>
    <xf numFmtId="0" fontId="44" fillId="7" borderId="39" xfId="0" applyFont="1" applyFill="1" applyBorder="1" applyAlignment="1" applyProtection="1">
      <alignment horizontal="center" vertical="center" wrapText="1"/>
      <protection locked="0"/>
    </xf>
    <xf numFmtId="0" fontId="44" fillId="7" borderId="56" xfId="0" applyFont="1" applyFill="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14" fontId="42" fillId="0" borderId="1" xfId="0" applyNumberFormat="1"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9" fontId="42" fillId="0" borderId="36" xfId="0" applyNumberFormat="1" applyFont="1" applyBorder="1" applyAlignment="1" applyProtection="1">
      <alignment horizontal="center" vertical="center" wrapText="1"/>
      <protection locked="0"/>
    </xf>
    <xf numFmtId="9" fontId="42" fillId="0" borderId="4" xfId="0" applyNumberFormat="1" applyFont="1" applyBorder="1" applyAlignment="1" applyProtection="1">
      <alignment horizontal="center" vertical="center" wrapText="1"/>
      <protection locked="0"/>
    </xf>
    <xf numFmtId="9" fontId="42" fillId="0" borderId="36"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0" fontId="42" fillId="0" borderId="36" xfId="0" applyFont="1" applyBorder="1" applyAlignment="1" applyProtection="1">
      <alignment horizontal="center" vertical="center" wrapText="1"/>
      <protection locked="0"/>
    </xf>
    <xf numFmtId="0" fontId="45" fillId="7" borderId="71" xfId="0" applyFont="1" applyFill="1" applyBorder="1" applyAlignment="1">
      <alignment horizontal="center" vertical="center" wrapText="1"/>
    </xf>
    <xf numFmtId="0" fontId="45" fillId="7" borderId="41" xfId="0" applyFont="1" applyFill="1" applyBorder="1" applyAlignment="1">
      <alignment horizontal="center" vertical="center" wrapText="1"/>
    </xf>
    <xf numFmtId="0" fontId="45" fillId="7" borderId="43" xfId="0" applyFont="1" applyFill="1" applyBorder="1" applyAlignment="1">
      <alignment horizontal="center" vertical="center" wrapText="1"/>
    </xf>
    <xf numFmtId="0" fontId="45" fillId="7" borderId="37" xfId="0" applyFont="1" applyFill="1" applyBorder="1" applyAlignment="1">
      <alignment horizontal="center" vertical="center" wrapText="1"/>
    </xf>
    <xf numFmtId="2" fontId="45" fillId="7" borderId="37" xfId="0" applyNumberFormat="1" applyFont="1" applyFill="1" applyBorder="1" applyAlignment="1">
      <alignment horizontal="center" vertical="center" wrapText="1"/>
    </xf>
    <xf numFmtId="0" fontId="44" fillId="7" borderId="55" xfId="0" applyFont="1" applyFill="1" applyBorder="1" applyAlignment="1" applyProtection="1">
      <alignment horizontal="center" vertical="center" wrapText="1"/>
      <protection locked="0"/>
    </xf>
    <xf numFmtId="0" fontId="44" fillId="7" borderId="16" xfId="0" applyFont="1" applyFill="1" applyBorder="1" applyAlignment="1" applyProtection="1">
      <alignment horizontal="center" vertical="center" wrapText="1"/>
      <protection locked="0"/>
    </xf>
    <xf numFmtId="0" fontId="42" fillId="0" borderId="36" xfId="0" applyFont="1" applyBorder="1" applyAlignment="1" applyProtection="1">
      <alignment horizontal="justify" vertical="center" wrapText="1"/>
      <protection locked="0"/>
    </xf>
    <xf numFmtId="0" fontId="42" fillId="0" borderId="3" xfId="0" applyFont="1" applyBorder="1" applyAlignment="1" applyProtection="1">
      <alignment horizontal="justify" vertical="center" wrapText="1"/>
      <protection locked="0"/>
    </xf>
    <xf numFmtId="0" fontId="42" fillId="0" borderId="4" xfId="0" applyFont="1" applyBorder="1" applyAlignment="1" applyProtection="1">
      <alignment horizontal="justify" vertical="center" wrapText="1"/>
      <protection locked="0"/>
    </xf>
    <xf numFmtId="14" fontId="42" fillId="0" borderId="36"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5" fillId="7" borderId="44" xfId="0" applyFont="1" applyFill="1" applyBorder="1" applyAlignment="1">
      <alignment horizontal="center" vertical="center" wrapText="1"/>
    </xf>
    <xf numFmtId="0" fontId="45" fillId="7" borderId="45" xfId="0" applyFont="1" applyFill="1" applyBorder="1" applyAlignment="1">
      <alignment horizontal="center" vertical="center" wrapText="1"/>
    </xf>
    <xf numFmtId="9" fontId="42" fillId="0" borderId="36" xfId="1" applyFont="1" applyBorder="1" applyAlignment="1" applyProtection="1">
      <alignment horizontal="center" vertical="center" wrapText="1"/>
    </xf>
    <xf numFmtId="9" fontId="42" fillId="0" borderId="3" xfId="1" applyFont="1" applyBorder="1" applyAlignment="1" applyProtection="1">
      <alignment horizontal="center" vertical="center" wrapText="1"/>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14" fontId="57" fillId="0" borderId="26" xfId="0" applyNumberFormat="1" applyFont="1" applyBorder="1" applyAlignment="1" applyProtection="1">
      <alignment horizontal="center"/>
      <protection locked="0"/>
    </xf>
    <xf numFmtId="0" fontId="63" fillId="8" borderId="58" xfId="0" applyFont="1" applyFill="1" applyBorder="1" applyAlignment="1" applyProtection="1">
      <alignment horizontal="center"/>
      <protection locked="0"/>
    </xf>
    <xf numFmtId="0" fontId="63" fillId="8" borderId="25" xfId="0" applyFont="1" applyFill="1" applyBorder="1" applyAlignment="1" applyProtection="1">
      <alignment horizontal="center"/>
      <protection locked="0"/>
    </xf>
    <xf numFmtId="0" fontId="63" fillId="8" borderId="24" xfId="0" applyFont="1" applyFill="1" applyBorder="1" applyAlignment="1" applyProtection="1">
      <alignment horizontal="center"/>
      <protection locked="0"/>
    </xf>
    <xf numFmtId="0" fontId="64" fillId="8" borderId="23" xfId="0" applyFont="1" applyFill="1" applyBorder="1" applyAlignment="1" applyProtection="1">
      <alignment horizontal="center"/>
      <protection locked="0"/>
    </xf>
    <xf numFmtId="0" fontId="50" fillId="8" borderId="60" xfId="0" applyFont="1" applyFill="1" applyBorder="1" applyAlignment="1" applyProtection="1">
      <alignment horizontal="center" vertical="center"/>
      <protection locked="0"/>
    </xf>
    <xf numFmtId="0" fontId="50" fillId="8" borderId="61" xfId="0" applyFont="1" applyFill="1" applyBorder="1" applyAlignment="1" applyProtection="1">
      <alignment horizontal="center" vertical="center"/>
      <protection locked="0"/>
    </xf>
    <xf numFmtId="0" fontId="50" fillId="8" borderId="62" xfId="0" applyFont="1" applyFill="1" applyBorder="1" applyAlignment="1" applyProtection="1">
      <alignment horizontal="center" vertical="center"/>
      <protection locked="0"/>
    </xf>
    <xf numFmtId="0" fontId="62" fillId="8" borderId="58" xfId="0" applyFont="1" applyFill="1" applyBorder="1" applyAlignment="1" applyProtection="1">
      <alignment horizontal="left" vertical="center" wrapText="1"/>
      <protection locked="0"/>
    </xf>
    <xf numFmtId="0" fontId="62" fillId="8" borderId="25" xfId="0" applyFont="1" applyFill="1" applyBorder="1" applyAlignment="1" applyProtection="1">
      <alignment horizontal="left" vertical="center" wrapText="1"/>
      <protection locked="0"/>
    </xf>
    <xf numFmtId="0" fontId="62" fillId="8" borderId="59" xfId="0" applyFont="1" applyFill="1" applyBorder="1" applyAlignment="1" applyProtection="1">
      <alignment horizontal="left" vertical="center" wrapText="1"/>
      <protection locked="0"/>
    </xf>
    <xf numFmtId="0" fontId="59" fillId="11" borderId="17" xfId="0" applyFont="1" applyFill="1" applyBorder="1" applyAlignment="1" applyProtection="1">
      <alignment horizontal="center" vertical="center"/>
      <protection locked="0"/>
    </xf>
    <xf numFmtId="0" fontId="59" fillId="11" borderId="18" xfId="0" applyFont="1" applyFill="1" applyBorder="1" applyAlignment="1" applyProtection="1">
      <alignment horizontal="center" vertical="center"/>
      <protection locked="0"/>
    </xf>
    <xf numFmtId="0" fontId="59" fillId="11" borderId="64" xfId="0" applyFont="1" applyFill="1" applyBorder="1" applyAlignment="1" applyProtection="1">
      <alignment horizontal="center" vertical="center"/>
      <protection locked="0"/>
    </xf>
    <xf numFmtId="9" fontId="48" fillId="0" borderId="2" xfId="1" applyFont="1" applyFill="1" applyBorder="1" applyAlignment="1" applyProtection="1">
      <alignment horizontal="center" vertical="center" wrapText="1"/>
      <protection locked="0"/>
    </xf>
    <xf numFmtId="9" fontId="48" fillId="0" borderId="3" xfId="1" applyFont="1" applyFill="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0" fontId="48" fillId="0" borderId="3" xfId="0" applyFont="1" applyBorder="1" applyAlignment="1" applyProtection="1">
      <alignment horizontal="center" vertical="center" wrapText="1"/>
      <protection locked="0"/>
    </xf>
    <xf numFmtId="0" fontId="48" fillId="0" borderId="4" xfId="0" applyFont="1" applyBorder="1" applyAlignment="1" applyProtection="1">
      <alignment horizontal="center" vertical="center" wrapText="1"/>
      <protection locked="0"/>
    </xf>
    <xf numFmtId="0" fontId="59" fillId="7" borderId="39" xfId="0" applyFont="1" applyFill="1" applyBorder="1" applyAlignment="1" applyProtection="1">
      <alignment horizontal="center" vertical="center" wrapText="1"/>
      <protection locked="0"/>
    </xf>
    <xf numFmtId="0" fontId="59" fillId="7" borderId="56" xfId="0" applyFont="1" applyFill="1" applyBorder="1" applyAlignment="1" applyProtection="1">
      <alignment horizontal="center" vertical="center" wrapText="1"/>
      <protection locked="0"/>
    </xf>
    <xf numFmtId="14" fontId="48" fillId="0" borderId="1" xfId="0"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9" fontId="48" fillId="0" borderId="1" xfId="0" applyNumberFormat="1" applyFont="1" applyBorder="1" applyAlignment="1" applyProtection="1">
      <alignment horizontal="center" vertical="center" wrapText="1"/>
      <protection locked="0"/>
    </xf>
    <xf numFmtId="0" fontId="61" fillId="0" borderId="2" xfId="0" applyFont="1" applyBorder="1" applyAlignment="1" applyProtection="1">
      <alignment horizontal="center" vertical="center" wrapText="1"/>
      <protection locked="0"/>
    </xf>
    <xf numFmtId="0" fontId="61" fillId="0" borderId="3" xfId="0" applyFont="1" applyBorder="1" applyAlignment="1" applyProtection="1">
      <alignment horizontal="center" vertical="center" wrapText="1"/>
      <protection locked="0"/>
    </xf>
    <xf numFmtId="9" fontId="48" fillId="0" borderId="36" xfId="1" applyFont="1" applyBorder="1" applyAlignment="1" applyProtection="1">
      <alignment horizontal="center" vertical="center" wrapText="1"/>
      <protection locked="0"/>
    </xf>
    <xf numFmtId="9" fontId="48" fillId="0" borderId="3" xfId="1" applyFont="1" applyBorder="1" applyAlignment="1" applyProtection="1">
      <alignment horizontal="center" vertical="center" wrapText="1"/>
      <protection locked="0"/>
    </xf>
    <xf numFmtId="9" fontId="48" fillId="0" borderId="4" xfId="1" applyFont="1" applyBorder="1" applyAlignment="1" applyProtection="1">
      <alignment horizontal="center" vertical="center" wrapText="1"/>
      <protection locked="0"/>
    </xf>
    <xf numFmtId="9" fontId="48" fillId="0" borderId="4" xfId="0" applyNumberFormat="1" applyFont="1" applyBorder="1" applyAlignment="1" applyProtection="1">
      <alignment horizontal="center" vertical="center" wrapText="1"/>
      <protection locked="0"/>
    </xf>
    <xf numFmtId="9" fontId="48" fillId="0" borderId="36" xfId="0" applyNumberFormat="1" applyFont="1" applyBorder="1" applyAlignment="1" applyProtection="1">
      <alignment horizontal="center" vertical="center" wrapText="1"/>
      <protection locked="0"/>
    </xf>
    <xf numFmtId="0" fontId="48" fillId="0" borderId="36" xfId="0" applyFont="1" applyBorder="1" applyAlignment="1" applyProtection="1">
      <alignment horizontal="center" vertical="center" wrapText="1"/>
      <protection locked="0"/>
    </xf>
    <xf numFmtId="0" fontId="59" fillId="7" borderId="55" xfId="0" applyFont="1" applyFill="1" applyBorder="1" applyAlignment="1" applyProtection="1">
      <alignment horizontal="center" vertical="center" wrapText="1"/>
      <protection locked="0"/>
    </xf>
    <xf numFmtId="0" fontId="59" fillId="7" borderId="16" xfId="0" applyFont="1" applyFill="1" applyBorder="1" applyAlignment="1" applyProtection="1">
      <alignment horizontal="center" vertical="center" wrapText="1"/>
      <protection locked="0"/>
    </xf>
    <xf numFmtId="0" fontId="48" fillId="0" borderId="36" xfId="0" applyFont="1" applyBorder="1" applyAlignment="1" applyProtection="1">
      <alignment horizontal="justify" vertical="center" wrapText="1"/>
      <protection locked="0"/>
    </xf>
    <xf numFmtId="0" fontId="48" fillId="0" borderId="3" xfId="0" applyFont="1" applyBorder="1" applyAlignment="1" applyProtection="1">
      <alignment horizontal="justify" vertical="center" wrapText="1"/>
      <protection locked="0"/>
    </xf>
    <xf numFmtId="0" fontId="48" fillId="0" borderId="4" xfId="0" applyFont="1" applyBorder="1" applyAlignment="1" applyProtection="1">
      <alignment horizontal="justify" vertical="center" wrapText="1"/>
      <protection locked="0"/>
    </xf>
    <xf numFmtId="14" fontId="48" fillId="0" borderId="36" xfId="0" applyNumberFormat="1" applyFont="1" applyBorder="1" applyAlignment="1" applyProtection="1">
      <alignment horizontal="center" vertical="center" wrapText="1"/>
      <protection locked="0"/>
    </xf>
    <xf numFmtId="0" fontId="45" fillId="7" borderId="33" xfId="0" applyFont="1" applyFill="1" applyBorder="1" applyAlignment="1">
      <alignment horizontal="center" vertical="center" wrapText="1"/>
    </xf>
    <xf numFmtId="0" fontId="45" fillId="7" borderId="42" xfId="0" applyFont="1" applyFill="1" applyBorder="1" applyAlignment="1">
      <alignment horizontal="center" vertical="center" wrapText="1"/>
    </xf>
    <xf numFmtId="0" fontId="45" fillId="7" borderId="40" xfId="0" applyFont="1" applyFill="1" applyBorder="1" applyAlignment="1">
      <alignment horizontal="center" vertical="center" wrapText="1"/>
    </xf>
    <xf numFmtId="0" fontId="45" fillId="7" borderId="17" xfId="0" applyFont="1" applyFill="1" applyBorder="1" applyAlignment="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14" fontId="57" fillId="6" borderId="26" xfId="0" applyNumberFormat="1" applyFont="1" applyFill="1" applyBorder="1" applyAlignment="1" applyProtection="1">
      <alignment horizontal="center"/>
      <protection locked="0"/>
    </xf>
    <xf numFmtId="0" fontId="55" fillId="8" borderId="58" xfId="0" applyFont="1" applyFill="1" applyBorder="1" applyAlignment="1" applyProtection="1">
      <alignment horizontal="center"/>
      <protection locked="0"/>
    </xf>
    <xf numFmtId="0" fontId="55" fillId="8" borderId="25" xfId="0" applyFont="1" applyFill="1" applyBorder="1" applyAlignment="1" applyProtection="1">
      <alignment horizontal="center"/>
      <protection locked="0"/>
    </xf>
    <xf numFmtId="0" fontId="55" fillId="8" borderId="24" xfId="0" applyFont="1" applyFill="1" applyBorder="1" applyAlignment="1" applyProtection="1">
      <alignment horizontal="center"/>
      <protection locked="0"/>
    </xf>
    <xf numFmtId="0" fontId="58" fillId="8" borderId="58" xfId="0" applyFont="1" applyFill="1" applyBorder="1" applyAlignment="1" applyProtection="1">
      <alignment horizontal="center"/>
      <protection locked="0"/>
    </xf>
    <xf numFmtId="0" fontId="58" fillId="8" borderId="25" xfId="0" applyFont="1" applyFill="1" applyBorder="1" applyAlignment="1" applyProtection="1">
      <alignment horizontal="center"/>
      <protection locked="0"/>
    </xf>
    <xf numFmtId="0" fontId="58" fillId="8" borderId="24" xfId="0" applyFont="1" applyFill="1" applyBorder="1" applyAlignment="1" applyProtection="1">
      <alignment horizontal="center"/>
      <protection locked="0"/>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35" fillId="10" borderId="1" xfId="0" applyFont="1" applyFill="1" applyBorder="1" applyAlignment="1">
      <alignment horizontal="center" vertical="center" wrapText="1"/>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0" fontId="36" fillId="10" borderId="1" xfId="0" applyFont="1" applyFill="1" applyBorder="1" applyAlignment="1">
      <alignment horizontal="center" vertical="center" wrapText="1"/>
    </xf>
    <xf numFmtId="0" fontId="13" fillId="0" borderId="1" xfId="0" applyFont="1" applyBorder="1" applyAlignment="1">
      <alignment horizontal="center" vertical="center"/>
    </xf>
    <xf numFmtId="0" fontId="18" fillId="0" borderId="1" xfId="0" applyFont="1" applyBorder="1" applyAlignment="1">
      <alignment horizontal="center" vertical="center" wrapText="1"/>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0" fillId="0" borderId="1" xfId="0" applyFont="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3" fillId="8" borderId="1" xfId="0" applyFont="1" applyFill="1" applyBorder="1" applyAlignment="1">
      <alignment horizontal="center" vertical="center"/>
    </xf>
    <xf numFmtId="0" fontId="32" fillId="8" borderId="1" xfId="0" applyFont="1" applyFill="1" applyBorder="1" applyAlignment="1">
      <alignment horizontal="center" vertic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0" xfId="0" applyFont="1" applyFill="1" applyAlignment="1">
      <alignment horizontal="center"/>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38" fillId="8" borderId="26" xfId="0" applyFont="1" applyFill="1" applyBorder="1" applyAlignment="1" applyProtection="1">
      <alignment horizontal="center"/>
      <protection locked="0"/>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cellXfs>
  <cellStyles count="13">
    <cellStyle name="Hipervínculo" xfId="5" builtinId="8" hidden="1"/>
    <cellStyle name="Hipervínculo" xfId="3" builtinId="8" hidden="1"/>
    <cellStyle name="Hipervínculo" xfId="9" builtinId="8" hidden="1"/>
    <cellStyle name="Hipervínculo" xfId="7" builtinId="8" hidden="1"/>
    <cellStyle name="Hipervínculo visitado" xfId="6" builtinId="9" hidden="1"/>
    <cellStyle name="Hipervínculo visitado" xfId="4" builtinId="9" hidden="1"/>
    <cellStyle name="Hipervínculo visitado" xfId="10" builtinId="9" hidden="1"/>
    <cellStyle name="Hipervínculo visitado" xfId="8" builtinId="9" hidden="1"/>
    <cellStyle name="Millares" xfId="11" builtinId="3"/>
    <cellStyle name="Millares 2" xfId="12" xr:uid="{2A5A02CC-DD37-40AB-8F5B-A80279406A45}"/>
    <cellStyle name="Normal" xfId="0" builtinId="0"/>
    <cellStyle name="Normal 2" xfId="2" xr:uid="{00000000-0005-0000-0000-00000A000000}"/>
    <cellStyle name="Porcentaje"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dward Arles Morales Serrano" id="{C56A6B85-8B85-4186-900F-F75AFE17FE5F}" userId="S::emoraless@invima.gov.co::4e44440b-b865-4216-ba44-d63ff9c886b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18" dT="2022-07-27T12:44:22.57" personId="{C56A6B85-8B85-4186-900F-F75AFE17FE5F}" id="{8F7EA7D7-3029-468C-85C0-4BEB0D7E0E52}">
    <text>Ruta en ONEDRIVE</text>
  </threadedComment>
  <threadedComment ref="T18" dT="2022-07-27T12:44:22.57" personId="{C56A6B85-8B85-4186-900F-F75AFE17FE5F}" id="{03F8EA59-E68D-43E2-89D3-8D86789BB85D}">
    <text>Ruta en ONEDRIVE</text>
  </threadedComment>
</ThreadedComments>
</file>

<file path=xl/threadedComments/threadedComment2.xml><?xml version="1.0" encoding="utf-8"?>
<ThreadedComments xmlns="http://schemas.microsoft.com/office/spreadsheetml/2018/threadedcomments" xmlns:x="http://schemas.openxmlformats.org/spreadsheetml/2006/main">
  <threadedComment ref="R18" dT="2022-07-27T12:44:22.57" personId="{C56A6B85-8B85-4186-900F-F75AFE17FE5F}" id="{C59780DA-8BA9-40F6-ADC8-10058E523C25}">
    <text>Ruta en ONEDRIVE</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72" t="s">
        <v>0</v>
      </c>
      <c r="C2" s="272"/>
      <c r="D2" s="272"/>
      <c r="E2" s="272"/>
      <c r="F2" s="272"/>
      <c r="G2" s="272"/>
      <c r="H2" s="272"/>
      <c r="I2" s="272"/>
    </row>
    <row r="3" spans="1:9" x14ac:dyDescent="0.25">
      <c r="B3" s="282" t="s">
        <v>1</v>
      </c>
      <c r="C3" s="282"/>
      <c r="D3" s="282"/>
      <c r="E3" s="282"/>
      <c r="F3" s="282"/>
      <c r="G3" s="282"/>
      <c r="H3" s="282"/>
      <c r="I3" s="282"/>
    </row>
    <row r="4" spans="1:9" x14ac:dyDescent="0.25">
      <c r="C4" s="2" t="s">
        <v>2</v>
      </c>
      <c r="D4" s="3" t="s">
        <v>3</v>
      </c>
    </row>
    <row r="5" spans="1:9" x14ac:dyDescent="0.25">
      <c r="C5" s="2" t="s">
        <v>4</v>
      </c>
      <c r="D5" s="3" t="s">
        <v>5</v>
      </c>
    </row>
    <row r="6" spans="1:9" x14ac:dyDescent="0.25">
      <c r="C6" s="4" t="s">
        <v>6</v>
      </c>
      <c r="D6" s="5" t="s">
        <v>7</v>
      </c>
    </row>
    <row r="7" spans="1:9" x14ac:dyDescent="0.25">
      <c r="C7" s="4" t="s">
        <v>8</v>
      </c>
      <c r="D7" s="5" t="s">
        <v>9</v>
      </c>
    </row>
    <row r="8" spans="1:9" x14ac:dyDescent="0.25">
      <c r="C8" s="4" t="s">
        <v>10</v>
      </c>
      <c r="D8" s="6">
        <v>41656</v>
      </c>
      <c r="E8" s="7"/>
    </row>
    <row r="9" spans="1:9" x14ac:dyDescent="0.25">
      <c r="C9" s="276" t="s">
        <v>11</v>
      </c>
      <c r="D9" s="5" t="s">
        <v>12</v>
      </c>
      <c r="F9" s="7"/>
      <c r="I9" s="7"/>
    </row>
    <row r="10" spans="1:9" x14ac:dyDescent="0.25">
      <c r="C10" s="276"/>
      <c r="D10" s="5" t="s">
        <v>13</v>
      </c>
    </row>
    <row r="12" spans="1:9" x14ac:dyDescent="0.25">
      <c r="A12" s="277" t="s">
        <v>14</v>
      </c>
      <c r="B12" s="278"/>
      <c r="C12" s="278"/>
      <c r="D12" s="278"/>
      <c r="E12" s="278"/>
      <c r="F12" s="278"/>
      <c r="G12" s="278"/>
      <c r="H12" s="278"/>
      <c r="I12" s="279"/>
    </row>
    <row r="13" spans="1:9" x14ac:dyDescent="0.25">
      <c r="A13" s="277" t="s">
        <v>15</v>
      </c>
      <c r="B13" s="278"/>
      <c r="C13" s="278"/>
      <c r="D13" s="278"/>
      <c r="E13" s="278"/>
      <c r="F13" s="278"/>
      <c r="G13" s="278"/>
      <c r="H13" s="278"/>
      <c r="I13" s="279"/>
    </row>
    <row r="14" spans="1:9" x14ac:dyDescent="0.25">
      <c r="A14" s="283"/>
      <c r="B14" s="284"/>
      <c r="C14" s="284"/>
      <c r="D14" s="284"/>
      <c r="E14" s="284"/>
      <c r="F14" s="284"/>
      <c r="G14" s="285"/>
      <c r="H14" s="274" t="s">
        <v>16</v>
      </c>
      <c r="I14" s="275"/>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80" t="s">
        <v>26</v>
      </c>
      <c r="B16" s="281">
        <v>0.3</v>
      </c>
      <c r="C16" s="273" t="s">
        <v>27</v>
      </c>
      <c r="D16" s="9" t="s">
        <v>28</v>
      </c>
      <c r="E16" s="259">
        <v>4</v>
      </c>
      <c r="F16" s="259" t="s">
        <v>29</v>
      </c>
      <c r="G16" s="273" t="s">
        <v>30</v>
      </c>
      <c r="H16" s="259"/>
      <c r="I16" s="262"/>
    </row>
    <row r="17" spans="1:9" ht="56.25" customHeight="1" x14ac:dyDescent="0.25">
      <c r="A17" s="280"/>
      <c r="B17" s="280"/>
      <c r="C17" s="273"/>
      <c r="D17" s="10" t="s">
        <v>31</v>
      </c>
      <c r="E17" s="260"/>
      <c r="F17" s="260"/>
      <c r="G17" s="273"/>
      <c r="H17" s="260"/>
      <c r="I17" s="262"/>
    </row>
    <row r="18" spans="1:9" ht="25.5" customHeight="1" x14ac:dyDescent="0.25">
      <c r="A18" s="280"/>
      <c r="B18" s="280"/>
      <c r="C18" s="273"/>
      <c r="D18" s="10" t="s">
        <v>32</v>
      </c>
      <c r="E18" s="260"/>
      <c r="F18" s="260"/>
      <c r="G18" s="273"/>
      <c r="H18" s="260"/>
      <c r="I18" s="262"/>
    </row>
    <row r="19" spans="1:9" ht="49.5" customHeight="1" x14ac:dyDescent="0.25">
      <c r="A19" s="280"/>
      <c r="B19" s="280"/>
      <c r="C19" s="273"/>
      <c r="D19" s="10" t="s">
        <v>33</v>
      </c>
      <c r="E19" s="261"/>
      <c r="F19" s="261"/>
      <c r="G19" s="273"/>
      <c r="H19" s="261"/>
      <c r="I19" s="262"/>
    </row>
    <row r="20" spans="1:9" ht="82.5" customHeight="1" x14ac:dyDescent="0.25">
      <c r="A20" s="269" t="s">
        <v>34</v>
      </c>
      <c r="B20" s="266">
        <v>0.3</v>
      </c>
      <c r="C20" s="259" t="s">
        <v>35</v>
      </c>
      <c r="D20" s="10" t="s">
        <v>36</v>
      </c>
      <c r="E20" s="259">
        <v>20</v>
      </c>
      <c r="F20" s="259" t="s">
        <v>37</v>
      </c>
      <c r="G20" s="89" t="s">
        <v>38</v>
      </c>
      <c r="H20" s="259"/>
      <c r="I20" s="263"/>
    </row>
    <row r="21" spans="1:9" ht="68.25" customHeight="1" x14ac:dyDescent="0.25">
      <c r="A21" s="270"/>
      <c r="B21" s="267"/>
      <c r="C21" s="260"/>
      <c r="D21" s="10" t="s">
        <v>39</v>
      </c>
      <c r="E21" s="260"/>
      <c r="F21" s="260"/>
      <c r="G21" s="89" t="s">
        <v>40</v>
      </c>
      <c r="H21" s="260"/>
      <c r="I21" s="264"/>
    </row>
    <row r="22" spans="1:9" ht="66" customHeight="1" x14ac:dyDescent="0.25">
      <c r="A22" s="271"/>
      <c r="B22" s="268"/>
      <c r="C22" s="261"/>
      <c r="D22" s="10" t="s">
        <v>41</v>
      </c>
      <c r="E22" s="261"/>
      <c r="F22" s="261"/>
      <c r="G22" s="89" t="s">
        <v>42</v>
      </c>
      <c r="H22" s="261"/>
      <c r="I22" s="265"/>
    </row>
    <row r="23" spans="1:9" ht="97.5" customHeight="1" x14ac:dyDescent="0.25">
      <c r="A23" s="269" t="s">
        <v>43</v>
      </c>
      <c r="B23" s="266">
        <v>0.4</v>
      </c>
      <c r="C23" s="259" t="s">
        <v>44</v>
      </c>
      <c r="D23" s="10" t="s">
        <v>45</v>
      </c>
      <c r="E23" s="259">
        <v>15</v>
      </c>
      <c r="F23" s="259" t="s">
        <v>29</v>
      </c>
      <c r="G23" s="259" t="s">
        <v>42</v>
      </c>
      <c r="H23" s="259"/>
      <c r="I23" s="263"/>
    </row>
    <row r="24" spans="1:9" ht="55.5" customHeight="1" x14ac:dyDescent="0.25">
      <c r="A24" s="270"/>
      <c r="B24" s="267"/>
      <c r="C24" s="260"/>
      <c r="D24" s="10" t="s">
        <v>46</v>
      </c>
      <c r="E24" s="260"/>
      <c r="F24" s="260"/>
      <c r="G24" s="260"/>
      <c r="H24" s="260"/>
      <c r="I24" s="264"/>
    </row>
    <row r="25" spans="1:9" ht="55.5" customHeight="1" x14ac:dyDescent="0.25">
      <c r="A25" s="271"/>
      <c r="B25" s="268"/>
      <c r="C25" s="261"/>
      <c r="D25" s="10" t="s">
        <v>47</v>
      </c>
      <c r="E25" s="261"/>
      <c r="F25" s="261"/>
      <c r="G25" s="261"/>
      <c r="H25" s="261"/>
      <c r="I25" s="265"/>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55"/>
      <c r="D28" s="256"/>
      <c r="E28" s="94"/>
      <c r="F28" s="256"/>
      <c r="G28" s="258"/>
      <c r="H28" s="21"/>
    </row>
    <row r="29" spans="1:9" ht="15.75" thickBot="1" x14ac:dyDescent="0.3">
      <c r="A29" s="12"/>
      <c r="C29" s="253" t="s">
        <v>49</v>
      </c>
      <c r="D29" s="254"/>
      <c r="E29" s="93"/>
      <c r="F29" s="254" t="s">
        <v>50</v>
      </c>
      <c r="G29" s="257"/>
      <c r="H29" s="22"/>
    </row>
    <row r="30" spans="1:9" x14ac:dyDescent="0.25">
      <c r="A30" s="12"/>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28"/>
  <sheetViews>
    <sheetView view="pageBreakPreview" topLeftCell="A18" zoomScale="40" zoomScaleNormal="50" zoomScaleSheetLayoutView="40" zoomScalePageLayoutView="50" workbookViewId="0">
      <selection activeCell="D24" sqref="D24:E24"/>
    </sheetView>
  </sheetViews>
  <sheetFormatPr baseColWidth="10" defaultColWidth="10.85546875" defaultRowHeight="18.75" x14ac:dyDescent="0.3"/>
  <cols>
    <col min="1" max="1" width="4.28515625" style="133" customWidth="1"/>
    <col min="2" max="2" width="13" style="162" bestFit="1" customWidth="1"/>
    <col min="3" max="3" width="41.42578125" style="133" customWidth="1"/>
    <col min="4" max="4" width="41.7109375" style="133" customWidth="1"/>
    <col min="5" max="5" width="28.85546875" style="133" customWidth="1"/>
    <col min="6" max="6" width="29.7109375" style="133" customWidth="1"/>
    <col min="7" max="7" width="55.5703125" style="133" customWidth="1"/>
    <col min="8" max="8" width="32" style="133" customWidth="1"/>
    <col min="9" max="9" width="36" style="133" customWidth="1"/>
    <col min="10" max="11" width="32.85546875" style="133" customWidth="1"/>
    <col min="12" max="12" width="74.85546875" style="133" customWidth="1"/>
    <col min="13" max="13" width="27.42578125" style="133" customWidth="1"/>
    <col min="14" max="16" width="26.5703125" style="133" customWidth="1"/>
    <col min="17" max="17" width="26.5703125" style="163" customWidth="1"/>
    <col min="18" max="19" width="36.42578125" style="133" customWidth="1"/>
    <col min="20" max="20" width="50.7109375" style="133" customWidth="1"/>
    <col min="21" max="21" width="3.7109375" style="133" customWidth="1"/>
    <col min="22" max="16384" width="10.85546875" style="133"/>
  </cols>
  <sheetData>
    <row r="1" spans="1:23" ht="132" customHeight="1" thickBot="1" x14ac:dyDescent="0.5">
      <c r="A1" s="128"/>
      <c r="B1" s="129"/>
      <c r="C1" s="130"/>
      <c r="D1" s="130"/>
      <c r="E1" s="130"/>
      <c r="F1" s="449"/>
      <c r="G1" s="131"/>
      <c r="H1" s="451"/>
      <c r="I1" s="130"/>
      <c r="J1" s="130"/>
      <c r="K1" s="130"/>
      <c r="L1" s="240">
        <f>20%*M1</f>
        <v>8.8524590163934436E-2</v>
      </c>
      <c r="M1" s="231">
        <f>+Q1</f>
        <v>0.44262295081967212</v>
      </c>
      <c r="N1" s="232">
        <v>1</v>
      </c>
      <c r="O1" s="233">
        <f>1/183</f>
        <v>5.4644808743169399E-3</v>
      </c>
      <c r="P1" s="234">
        <v>81</v>
      </c>
      <c r="Q1" s="235">
        <f>+O1*81</f>
        <v>0.44262295081967212</v>
      </c>
      <c r="R1" s="236"/>
      <c r="S1" s="237">
        <f>183-P1</f>
        <v>102</v>
      </c>
      <c r="T1" s="130"/>
      <c r="U1" s="239">
        <f>1-Q1</f>
        <v>0.55737704918032782</v>
      </c>
      <c r="V1" s="128"/>
      <c r="W1" s="128"/>
    </row>
    <row r="2" spans="1:23" ht="7.5" hidden="1" customHeight="1" x14ac:dyDescent="0.25">
      <c r="A2" s="128"/>
      <c r="B2" s="129"/>
      <c r="C2" s="130"/>
      <c r="D2" s="130"/>
      <c r="E2" s="130"/>
      <c r="F2" s="450"/>
      <c r="G2" s="134"/>
      <c r="H2" s="451"/>
      <c r="I2" s="130"/>
      <c r="J2" s="130"/>
      <c r="K2" s="130"/>
      <c r="L2" s="130"/>
      <c r="M2" s="130"/>
      <c r="N2" s="130"/>
      <c r="O2" s="130"/>
      <c r="P2" s="130"/>
      <c r="Q2" s="132"/>
      <c r="R2" s="130"/>
      <c r="S2" s="130"/>
      <c r="T2" s="130"/>
      <c r="U2" s="128"/>
      <c r="V2" s="128"/>
      <c r="W2" s="128"/>
    </row>
    <row r="3" spans="1:23" ht="27" hidden="1" thickBot="1" x14ac:dyDescent="0.3">
      <c r="A3" s="128"/>
      <c r="B3" s="129"/>
      <c r="C3" s="130"/>
      <c r="D3" s="130"/>
      <c r="E3" s="130"/>
      <c r="F3" s="130"/>
      <c r="G3" s="130"/>
      <c r="H3" s="130"/>
      <c r="I3" s="130"/>
      <c r="J3" s="130"/>
      <c r="K3" s="130"/>
      <c r="L3" s="130"/>
      <c r="M3" s="130"/>
      <c r="N3" s="130"/>
      <c r="O3" s="130"/>
      <c r="P3" s="130"/>
      <c r="Q3" s="132"/>
      <c r="R3" s="130"/>
      <c r="S3" s="130"/>
      <c r="T3" s="130"/>
      <c r="U3" s="128"/>
      <c r="V3" s="128"/>
      <c r="W3" s="128"/>
    </row>
    <row r="4" spans="1:23" ht="64.5" customHeight="1" thickBot="1" x14ac:dyDescent="0.3">
      <c r="A4" s="128"/>
      <c r="B4" s="452" t="s">
        <v>176</v>
      </c>
      <c r="C4" s="453"/>
      <c r="D4" s="453"/>
      <c r="E4" s="453"/>
      <c r="F4" s="453"/>
      <c r="G4" s="453"/>
      <c r="H4" s="453"/>
      <c r="I4" s="453"/>
      <c r="J4" s="453"/>
      <c r="K4" s="453"/>
      <c r="L4" s="453"/>
      <c r="M4" s="453"/>
      <c r="N4" s="453"/>
      <c r="O4" s="453"/>
      <c r="P4" s="453"/>
      <c r="Q4" s="453"/>
      <c r="R4" s="453"/>
      <c r="S4" s="454"/>
      <c r="T4" s="245"/>
      <c r="U4" s="128"/>
      <c r="V4" s="128"/>
      <c r="W4" s="128"/>
    </row>
    <row r="5" spans="1:23" ht="35.25" customHeight="1" thickBot="1" x14ac:dyDescent="0.3">
      <c r="A5" s="128"/>
      <c r="B5" s="455" t="s">
        <v>177</v>
      </c>
      <c r="C5" s="456"/>
      <c r="D5" s="456"/>
      <c r="E5" s="456"/>
      <c r="F5" s="456"/>
      <c r="G5" s="456"/>
      <c r="H5" s="457"/>
      <c r="I5" s="135"/>
      <c r="J5" s="135"/>
      <c r="K5" s="456"/>
      <c r="L5" s="456"/>
      <c r="M5" s="456"/>
      <c r="N5" s="456"/>
      <c r="O5" s="457"/>
      <c r="P5" s="455" t="s">
        <v>178</v>
      </c>
      <c r="Q5" s="458"/>
      <c r="R5" s="458"/>
      <c r="S5" s="459"/>
      <c r="T5" s="246"/>
      <c r="U5" s="128"/>
      <c r="V5" s="128"/>
      <c r="W5" s="128"/>
    </row>
    <row r="6" spans="1:23" s="136" customFormat="1" ht="56.25" customHeight="1" thickBot="1" x14ac:dyDescent="0.5">
      <c r="A6" s="128"/>
      <c r="B6" s="444" t="s">
        <v>17</v>
      </c>
      <c r="C6" s="445" t="s">
        <v>179</v>
      </c>
      <c r="D6" s="436" t="s">
        <v>180</v>
      </c>
      <c r="E6" s="436" t="s">
        <v>181</v>
      </c>
      <c r="F6" s="436" t="s">
        <v>182</v>
      </c>
      <c r="G6" s="436" t="s">
        <v>61</v>
      </c>
      <c r="H6" s="398" t="s">
        <v>183</v>
      </c>
      <c r="I6" s="399"/>
      <c r="J6" s="433" t="s">
        <v>184</v>
      </c>
      <c r="K6" s="434"/>
      <c r="L6" s="434"/>
      <c r="M6" s="434"/>
      <c r="N6" s="434"/>
      <c r="O6" s="435"/>
      <c r="P6" s="436" t="s">
        <v>185</v>
      </c>
      <c r="Q6" s="437" t="s">
        <v>186</v>
      </c>
      <c r="R6" s="436" t="s">
        <v>79</v>
      </c>
      <c r="S6" s="436"/>
      <c r="T6" s="247"/>
      <c r="U6" s="128"/>
      <c r="V6" s="128"/>
      <c r="W6" s="128"/>
    </row>
    <row r="7" spans="1:23" s="139" customFormat="1" ht="129" customHeight="1" thickBot="1" x14ac:dyDescent="0.5">
      <c r="A7" s="128"/>
      <c r="B7" s="444"/>
      <c r="C7" s="446"/>
      <c r="D7" s="436"/>
      <c r="E7" s="436"/>
      <c r="F7" s="436"/>
      <c r="G7" s="436"/>
      <c r="H7" s="189" t="s">
        <v>187</v>
      </c>
      <c r="I7" s="190" t="s">
        <v>188</v>
      </c>
      <c r="J7" s="137" t="s">
        <v>189</v>
      </c>
      <c r="K7" s="137" t="s">
        <v>190</v>
      </c>
      <c r="L7" s="137" t="s">
        <v>191</v>
      </c>
      <c r="M7" s="191" t="s">
        <v>192</v>
      </c>
      <c r="N7" s="137" t="s">
        <v>193</v>
      </c>
      <c r="O7" s="137" t="s">
        <v>194</v>
      </c>
      <c r="P7" s="436"/>
      <c r="Q7" s="437"/>
      <c r="R7" s="138" t="s">
        <v>195</v>
      </c>
      <c r="S7" s="138" t="s">
        <v>120</v>
      </c>
      <c r="T7" s="248" t="s">
        <v>338</v>
      </c>
      <c r="U7" s="128"/>
      <c r="V7" s="128"/>
      <c r="W7" s="128"/>
    </row>
    <row r="8" spans="1:23" s="175" customFormat="1" ht="119.25" customHeight="1" x14ac:dyDescent="0.25">
      <c r="A8" s="174"/>
      <c r="B8" s="438">
        <v>1</v>
      </c>
      <c r="C8" s="432" t="s">
        <v>196</v>
      </c>
      <c r="D8" s="440" t="s">
        <v>197</v>
      </c>
      <c r="E8" s="430">
        <v>1</v>
      </c>
      <c r="F8" s="443" t="s">
        <v>198</v>
      </c>
      <c r="G8" s="176" t="s">
        <v>199</v>
      </c>
      <c r="H8" s="428">
        <v>0.4</v>
      </c>
      <c r="I8" s="195">
        <v>0.51</v>
      </c>
      <c r="J8" s="429">
        <v>0.4</v>
      </c>
      <c r="K8" s="428">
        <f>(AVERAGE(I8:I12)*H8)/H8</f>
        <v>0.45557411193457714</v>
      </c>
      <c r="L8" s="200"/>
      <c r="M8" s="238">
        <f>100%-I8</f>
        <v>0.49</v>
      </c>
      <c r="N8" s="430">
        <v>0.6</v>
      </c>
      <c r="O8" s="416">
        <f>IFERROR((AVERAGE(M8:M12)*H8)/H8,0)</f>
        <v>0.5444258880654228</v>
      </c>
      <c r="P8" s="417">
        <f>IF(SUM(K8,O8)&gt;100%,"NO PERMITIDO",SUM(K8,O8))</f>
        <v>1</v>
      </c>
      <c r="Q8" s="447">
        <f>H8*P8/100%</f>
        <v>0.4</v>
      </c>
      <c r="R8" s="249" t="s">
        <v>341</v>
      </c>
      <c r="S8" s="249" t="s">
        <v>324</v>
      </c>
      <c r="T8" s="250" t="s">
        <v>339</v>
      </c>
      <c r="U8" s="174"/>
      <c r="V8" s="174"/>
      <c r="W8" s="174"/>
    </row>
    <row r="9" spans="1:23" s="175" customFormat="1" ht="119.25" customHeight="1" x14ac:dyDescent="0.25">
      <c r="A9" s="174"/>
      <c r="B9" s="421"/>
      <c r="C9" s="423"/>
      <c r="D9" s="441"/>
      <c r="E9" s="431"/>
      <c r="F9" s="423"/>
      <c r="G9" s="177" t="s">
        <v>200</v>
      </c>
      <c r="H9" s="423"/>
      <c r="I9" s="195">
        <v>0.35384615384615387</v>
      </c>
      <c r="J9" s="426"/>
      <c r="K9" s="423"/>
      <c r="L9" s="199"/>
      <c r="M9" s="238">
        <f t="shared" ref="M9:M18" si="0">100%-I9</f>
        <v>0.64615384615384608</v>
      </c>
      <c r="N9" s="431"/>
      <c r="O9" s="414"/>
      <c r="P9" s="418"/>
      <c r="Q9" s="448"/>
      <c r="R9" s="177" t="s">
        <v>342</v>
      </c>
      <c r="S9" s="177" t="s">
        <v>325</v>
      </c>
      <c r="T9" s="250">
        <v>469</v>
      </c>
      <c r="U9" s="174"/>
      <c r="V9" s="174"/>
      <c r="W9" s="174"/>
    </row>
    <row r="10" spans="1:23" s="175" customFormat="1" ht="119.25" customHeight="1" x14ac:dyDescent="0.25">
      <c r="A10" s="174"/>
      <c r="B10" s="421"/>
      <c r="C10" s="423"/>
      <c r="D10" s="441"/>
      <c r="E10" s="431"/>
      <c r="F10" s="423"/>
      <c r="G10" s="177" t="s">
        <v>201</v>
      </c>
      <c r="H10" s="423"/>
      <c r="I10" s="196">
        <v>0.35535714285714287</v>
      </c>
      <c r="J10" s="426"/>
      <c r="K10" s="423"/>
      <c r="L10" s="199"/>
      <c r="M10" s="238">
        <f t="shared" si="0"/>
        <v>0.64464285714285707</v>
      </c>
      <c r="N10" s="431"/>
      <c r="O10" s="414"/>
      <c r="P10" s="418"/>
      <c r="Q10" s="448"/>
      <c r="R10" s="177" t="s">
        <v>343</v>
      </c>
      <c r="S10" s="177" t="s">
        <v>326</v>
      </c>
      <c r="T10" s="250">
        <v>450</v>
      </c>
      <c r="U10" s="174"/>
      <c r="V10" s="174"/>
      <c r="W10" s="174"/>
    </row>
    <row r="11" spans="1:23" s="175" customFormat="1" ht="119.25" customHeight="1" x14ac:dyDescent="0.25">
      <c r="A11" s="174"/>
      <c r="B11" s="421"/>
      <c r="C11" s="423"/>
      <c r="D11" s="441"/>
      <c r="E11" s="431"/>
      <c r="F11" s="423"/>
      <c r="G11" s="177" t="s">
        <v>202</v>
      </c>
      <c r="H11" s="423"/>
      <c r="I11" s="196">
        <v>0.42692307692307691</v>
      </c>
      <c r="J11" s="426"/>
      <c r="K11" s="423"/>
      <c r="L11" s="199"/>
      <c r="M11" s="238">
        <f t="shared" si="0"/>
        <v>0.57307692307692304</v>
      </c>
      <c r="N11" s="431"/>
      <c r="O11" s="414"/>
      <c r="P11" s="418"/>
      <c r="Q11" s="448"/>
      <c r="R11" s="177" t="s">
        <v>344</v>
      </c>
      <c r="S11" s="177" t="s">
        <v>327</v>
      </c>
      <c r="T11" s="250">
        <v>491</v>
      </c>
      <c r="U11" s="174"/>
      <c r="V11" s="174"/>
      <c r="W11" s="174"/>
    </row>
    <row r="12" spans="1:23" s="175" customFormat="1" ht="119.25" customHeight="1" thickBot="1" x14ac:dyDescent="0.3">
      <c r="A12" s="174"/>
      <c r="B12" s="439"/>
      <c r="C12" s="424"/>
      <c r="D12" s="442"/>
      <c r="E12" s="416"/>
      <c r="F12" s="423"/>
      <c r="G12" s="177" t="s">
        <v>203</v>
      </c>
      <c r="H12" s="424"/>
      <c r="I12" s="196">
        <v>0.63174418604651161</v>
      </c>
      <c r="J12" s="426"/>
      <c r="K12" s="424"/>
      <c r="L12" s="199"/>
      <c r="M12" s="238">
        <f t="shared" si="0"/>
        <v>0.36825581395348839</v>
      </c>
      <c r="N12" s="416"/>
      <c r="O12" s="414"/>
      <c r="P12" s="418"/>
      <c r="Q12" s="448"/>
      <c r="R12" s="177" t="s">
        <v>345</v>
      </c>
      <c r="S12" s="177" t="s">
        <v>328</v>
      </c>
      <c r="T12" s="250" t="s">
        <v>356</v>
      </c>
      <c r="U12" s="174"/>
      <c r="V12" s="174"/>
      <c r="W12" s="174"/>
    </row>
    <row r="13" spans="1:23" ht="252.75" customHeight="1" x14ac:dyDescent="0.25">
      <c r="A13" s="128"/>
      <c r="B13" s="420">
        <v>2</v>
      </c>
      <c r="C13" s="422" t="s">
        <v>196</v>
      </c>
      <c r="D13" s="432" t="s">
        <v>204</v>
      </c>
      <c r="E13" s="412">
        <v>1</v>
      </c>
      <c r="F13" s="425" t="s">
        <v>198</v>
      </c>
      <c r="G13" s="177" t="s">
        <v>205</v>
      </c>
      <c r="H13" s="412">
        <v>0.3</v>
      </c>
      <c r="I13" s="196">
        <v>0.66</v>
      </c>
      <c r="J13" s="427">
        <v>0.4</v>
      </c>
      <c r="K13" s="412">
        <f>(AVERAGE(I13:I15)*H13)/H13</f>
        <v>0.57333333333333336</v>
      </c>
      <c r="L13" s="201"/>
      <c r="M13" s="238">
        <f t="shared" si="0"/>
        <v>0.33999999999999997</v>
      </c>
      <c r="N13" s="412">
        <v>0.6</v>
      </c>
      <c r="O13" s="414">
        <f>IFERROR((AVERAGE(M13:M15)*H13)/H13,0)</f>
        <v>0.42666666666666658</v>
      </c>
      <c r="P13" s="415">
        <f>IF(SUM(K13,O13)&gt;100%,"NO PERMITIDO",SUM(K13,O13))</f>
        <v>1</v>
      </c>
      <c r="Q13" s="419">
        <f>H13*P13/100%</f>
        <v>0.3</v>
      </c>
      <c r="R13" s="177" t="s">
        <v>346</v>
      </c>
      <c r="S13" s="177" t="s">
        <v>329</v>
      </c>
      <c r="T13" s="250" t="s">
        <v>355</v>
      </c>
      <c r="U13" s="128"/>
      <c r="V13" s="128"/>
      <c r="W13" s="128"/>
    </row>
    <row r="14" spans="1:23" ht="228" customHeight="1" x14ac:dyDescent="0.25">
      <c r="A14" s="128"/>
      <c r="B14" s="421"/>
      <c r="C14" s="423"/>
      <c r="D14" s="423"/>
      <c r="E14" s="413"/>
      <c r="F14" s="426"/>
      <c r="G14" s="177" t="s">
        <v>206</v>
      </c>
      <c r="H14" s="413"/>
      <c r="I14" s="196">
        <v>0.5</v>
      </c>
      <c r="J14" s="426"/>
      <c r="K14" s="413"/>
      <c r="L14" s="201"/>
      <c r="M14" s="238">
        <f t="shared" si="0"/>
        <v>0.5</v>
      </c>
      <c r="N14" s="413"/>
      <c r="O14" s="414"/>
      <c r="P14" s="415"/>
      <c r="Q14" s="419"/>
      <c r="R14" s="177" t="s">
        <v>336</v>
      </c>
      <c r="S14" s="177" t="s">
        <v>333</v>
      </c>
      <c r="T14" s="250" t="s">
        <v>340</v>
      </c>
      <c r="U14" s="128"/>
      <c r="V14" s="128"/>
      <c r="W14" s="128"/>
    </row>
    <row r="15" spans="1:23" ht="228" customHeight="1" x14ac:dyDescent="0.25">
      <c r="A15" s="128"/>
      <c r="B15" s="421"/>
      <c r="C15" s="424"/>
      <c r="D15" s="423"/>
      <c r="E15" s="413"/>
      <c r="F15" s="426"/>
      <c r="G15" s="177" t="s">
        <v>306</v>
      </c>
      <c r="H15" s="413"/>
      <c r="I15" s="196">
        <v>0.56000000000000005</v>
      </c>
      <c r="J15" s="426"/>
      <c r="K15" s="413"/>
      <c r="L15" s="201"/>
      <c r="M15" s="238">
        <f t="shared" si="0"/>
        <v>0.43999999999999995</v>
      </c>
      <c r="N15" s="413"/>
      <c r="O15" s="414"/>
      <c r="P15" s="415"/>
      <c r="Q15" s="419"/>
      <c r="R15" s="177" t="s">
        <v>347</v>
      </c>
      <c r="S15" s="177" t="s">
        <v>330</v>
      </c>
      <c r="T15" s="250" t="s">
        <v>353</v>
      </c>
      <c r="U15" s="128"/>
      <c r="V15" s="128"/>
      <c r="W15" s="128"/>
    </row>
    <row r="16" spans="1:23" ht="159.75" customHeight="1" x14ac:dyDescent="0.25">
      <c r="A16" s="128"/>
      <c r="B16" s="420">
        <v>3</v>
      </c>
      <c r="C16" s="422" t="s">
        <v>196</v>
      </c>
      <c r="D16" s="422" t="s">
        <v>208</v>
      </c>
      <c r="E16" s="412">
        <v>1</v>
      </c>
      <c r="F16" s="425" t="s">
        <v>198</v>
      </c>
      <c r="G16" s="176" t="s">
        <v>209</v>
      </c>
      <c r="H16" s="412">
        <v>0.3</v>
      </c>
      <c r="I16" s="196">
        <v>0.63</v>
      </c>
      <c r="J16" s="427">
        <v>0.4</v>
      </c>
      <c r="K16" s="412">
        <f>(AVERAGE(I16:I18)*H16)/H16</f>
        <v>0.48666666666666664</v>
      </c>
      <c r="L16" s="201"/>
      <c r="M16" s="238">
        <f t="shared" si="0"/>
        <v>0.37</v>
      </c>
      <c r="N16" s="412">
        <v>0.6</v>
      </c>
      <c r="O16" s="414">
        <f>IFERROR((AVERAGE(M16:M18)*H16)/H16,0)</f>
        <v>0.51333333333333331</v>
      </c>
      <c r="P16" s="415">
        <f>IF(SUM(K16,O16)&gt;100%,"NO PERMITIDO",SUM(K16,O16))</f>
        <v>1</v>
      </c>
      <c r="Q16" s="419">
        <f>H16*P16/100%</f>
        <v>0.3</v>
      </c>
      <c r="R16" s="177" t="s">
        <v>348</v>
      </c>
      <c r="S16" s="177" t="s">
        <v>331</v>
      </c>
      <c r="T16" s="250" t="s">
        <v>354</v>
      </c>
      <c r="U16" s="128"/>
      <c r="V16" s="128"/>
      <c r="W16" s="128"/>
    </row>
    <row r="17" spans="1:23" ht="159.75" customHeight="1" x14ac:dyDescent="0.25">
      <c r="A17" s="128"/>
      <c r="B17" s="421"/>
      <c r="C17" s="423"/>
      <c r="D17" s="423"/>
      <c r="E17" s="413"/>
      <c r="F17" s="426"/>
      <c r="G17" s="177" t="s">
        <v>210</v>
      </c>
      <c r="H17" s="413"/>
      <c r="I17" s="196">
        <v>0.33</v>
      </c>
      <c r="J17" s="426"/>
      <c r="K17" s="413"/>
      <c r="L17" s="201"/>
      <c r="M17" s="238">
        <f t="shared" si="0"/>
        <v>0.66999999999999993</v>
      </c>
      <c r="N17" s="413"/>
      <c r="O17" s="414"/>
      <c r="P17" s="415"/>
      <c r="Q17" s="419"/>
      <c r="R17" s="177" t="s">
        <v>349</v>
      </c>
      <c r="S17" s="177" t="s">
        <v>332</v>
      </c>
      <c r="T17" s="250">
        <v>15</v>
      </c>
      <c r="U17" s="128"/>
      <c r="V17" s="128"/>
      <c r="W17" s="128"/>
    </row>
    <row r="18" spans="1:23" ht="409.5" customHeight="1" thickBot="1" x14ac:dyDescent="0.3">
      <c r="A18" s="128"/>
      <c r="B18" s="421"/>
      <c r="C18" s="424"/>
      <c r="D18" s="424"/>
      <c r="E18" s="413"/>
      <c r="F18" s="426"/>
      <c r="G18" s="177" t="s">
        <v>211</v>
      </c>
      <c r="H18" s="413"/>
      <c r="I18" s="196">
        <v>0.5</v>
      </c>
      <c r="J18" s="426"/>
      <c r="K18" s="413"/>
      <c r="L18" s="186"/>
      <c r="M18" s="238">
        <f t="shared" si="0"/>
        <v>0.5</v>
      </c>
      <c r="N18" s="413"/>
      <c r="O18" s="414"/>
      <c r="P18" s="415"/>
      <c r="Q18" s="419"/>
      <c r="R18" s="177" t="s">
        <v>334</v>
      </c>
      <c r="S18" s="177" t="s">
        <v>308</v>
      </c>
      <c r="T18" s="250" t="s">
        <v>351</v>
      </c>
      <c r="U18" s="128"/>
      <c r="V18" s="128"/>
      <c r="W18" s="128"/>
    </row>
    <row r="19" spans="1:23" ht="27" customHeight="1" thickBot="1" x14ac:dyDescent="0.3">
      <c r="A19" s="128"/>
      <c r="B19" s="406" t="s">
        <v>48</v>
      </c>
      <c r="C19" s="407"/>
      <c r="D19" s="407"/>
      <c r="E19" s="407"/>
      <c r="F19" s="407"/>
      <c r="G19" s="408"/>
      <c r="H19" s="140">
        <f>IF(SUM(H8:H18)&gt;100%,"supera el 100%",SUM(H8:H18))</f>
        <v>1</v>
      </c>
      <c r="I19" s="141"/>
      <c r="J19" s="141"/>
      <c r="K19" s="202">
        <f>AVERAGE(K8:K18)</f>
        <v>0.50519137064485908</v>
      </c>
      <c r="L19" s="141"/>
      <c r="M19" s="141"/>
      <c r="N19" s="142"/>
      <c r="O19" s="143">
        <f>AVERAGE(O8:O18)</f>
        <v>0.49480862935514097</v>
      </c>
      <c r="P19" s="142"/>
      <c r="Q19" s="230">
        <f>SUM(Q8:Q18)</f>
        <v>1</v>
      </c>
      <c r="R19" s="251">
        <v>0</v>
      </c>
      <c r="S19" s="251">
        <v>0</v>
      </c>
      <c r="T19" s="251"/>
      <c r="U19" s="128"/>
      <c r="V19" s="128"/>
      <c r="W19" s="128"/>
    </row>
    <row r="20" spans="1:23" ht="27" customHeight="1" x14ac:dyDescent="0.3">
      <c r="A20" s="128"/>
      <c r="B20" s="409" t="s">
        <v>212</v>
      </c>
      <c r="C20" s="410"/>
      <c r="D20" s="410"/>
      <c r="E20" s="410"/>
      <c r="F20" s="410"/>
      <c r="G20" s="410"/>
      <c r="H20" s="410"/>
      <c r="I20" s="410"/>
      <c r="J20" s="410"/>
      <c r="K20" s="410"/>
      <c r="L20" s="410"/>
      <c r="M20" s="410"/>
      <c r="N20" s="410"/>
      <c r="O20" s="410"/>
      <c r="P20" s="411"/>
      <c r="Q20" s="183"/>
      <c r="R20" s="184"/>
      <c r="S20" s="184"/>
      <c r="T20" s="184"/>
      <c r="U20" s="128"/>
      <c r="V20" s="128"/>
      <c r="W20" s="128"/>
    </row>
    <row r="21" spans="1:23" ht="305.25" customHeight="1" thickBot="1" x14ac:dyDescent="0.3">
      <c r="A21" s="128"/>
      <c r="B21" s="179">
        <v>1</v>
      </c>
      <c r="C21" s="178" t="s">
        <v>196</v>
      </c>
      <c r="D21" s="178" t="s">
        <v>213</v>
      </c>
      <c r="E21" s="172">
        <v>1</v>
      </c>
      <c r="F21" s="173" t="s">
        <v>214</v>
      </c>
      <c r="G21" s="180" t="s">
        <v>215</v>
      </c>
      <c r="H21" s="172">
        <v>0.05</v>
      </c>
      <c r="I21" s="196">
        <v>0.5</v>
      </c>
      <c r="J21" s="185">
        <v>0.2</v>
      </c>
      <c r="K21" s="203">
        <f>(AVERAGE(I21)*H21)</f>
        <v>2.5000000000000001E-2</v>
      </c>
      <c r="L21" s="172"/>
      <c r="M21" s="238">
        <f>100%-I21</f>
        <v>0.5</v>
      </c>
      <c r="N21" s="172">
        <v>0.8</v>
      </c>
      <c r="O21" s="185">
        <f>IFERROR((AVERAGE(M21)*H21),0)</f>
        <v>2.5000000000000001E-2</v>
      </c>
      <c r="P21" s="187">
        <f>IF(SUM(K21,O21)&gt;100%,"NO PERMITIDO",SUM(K21,O21))</f>
        <v>0.05</v>
      </c>
      <c r="Q21" s="194">
        <f>+O21+K21</f>
        <v>0.05</v>
      </c>
      <c r="R21" s="177" t="s">
        <v>350</v>
      </c>
      <c r="S21" s="199" t="s">
        <v>307</v>
      </c>
      <c r="T21" s="250" t="s">
        <v>352</v>
      </c>
      <c r="U21" s="128"/>
      <c r="V21" s="128"/>
      <c r="W21" s="128"/>
    </row>
    <row r="22" spans="1:23" ht="27" thickBot="1" x14ac:dyDescent="0.35">
      <c r="A22" s="128"/>
      <c r="B22" s="406" t="s">
        <v>48</v>
      </c>
      <c r="C22" s="407"/>
      <c r="D22" s="407"/>
      <c r="E22" s="407"/>
      <c r="F22" s="407"/>
      <c r="G22" s="407"/>
      <c r="H22" s="142">
        <f>SUM(H19,H21)</f>
        <v>1.05</v>
      </c>
      <c r="I22" s="141"/>
      <c r="J22" s="192"/>
      <c r="K22" s="204">
        <f>SUM(K19,K21)</f>
        <v>0.53019137064485911</v>
      </c>
      <c r="L22" s="141"/>
      <c r="M22" s="141"/>
      <c r="N22" s="193"/>
      <c r="O22" s="142">
        <f>SUM(O19,O21)</f>
        <v>0.51980862935514094</v>
      </c>
      <c r="P22" s="193"/>
      <c r="Q22" s="142">
        <f>SUM(Q19,Q21)</f>
        <v>1.05</v>
      </c>
      <c r="R22" s="184"/>
      <c r="S22" s="184"/>
      <c r="T22" s="209">
        <f>+'OAP-DIROS'!V22</f>
        <v>0</v>
      </c>
      <c r="U22" s="128"/>
      <c r="V22" s="128"/>
      <c r="W22" s="128"/>
    </row>
    <row r="23" spans="1:23" ht="29.25" customHeight="1" thickBot="1" x14ac:dyDescent="0.3">
      <c r="A23" s="128"/>
      <c r="B23" s="144"/>
      <c r="C23" s="145"/>
      <c r="D23" s="146"/>
      <c r="E23" s="146"/>
      <c r="F23" s="145"/>
      <c r="G23" s="145"/>
      <c r="H23" s="146"/>
      <c r="I23" s="146"/>
      <c r="J23" s="146"/>
      <c r="K23" s="146"/>
      <c r="L23" s="146"/>
      <c r="M23" s="146"/>
      <c r="N23" s="146"/>
      <c r="O23" s="146"/>
      <c r="P23" s="146"/>
      <c r="Q23" s="147"/>
      <c r="R23" s="146"/>
      <c r="S23" s="148"/>
      <c r="T23" s="148"/>
      <c r="U23" s="128"/>
      <c r="V23" s="128"/>
      <c r="W23" s="128"/>
    </row>
    <row r="24" spans="1:23" ht="48.75" customHeight="1" x14ac:dyDescent="0.4">
      <c r="A24" s="128"/>
      <c r="B24" s="144"/>
      <c r="C24" s="149" t="s">
        <v>216</v>
      </c>
      <c r="D24" s="394">
        <v>44928</v>
      </c>
      <c r="E24" s="394"/>
      <c r="F24" s="146"/>
      <c r="G24" s="391" t="s">
        <v>357</v>
      </c>
      <c r="H24" s="392"/>
      <c r="I24" s="392"/>
      <c r="J24" s="393"/>
      <c r="K24" s="150"/>
      <c r="L24" s="400" t="s">
        <v>337</v>
      </c>
      <c r="M24" s="401"/>
      <c r="N24" s="401"/>
      <c r="O24" s="401"/>
      <c r="P24" s="402"/>
      <c r="Q24" s="151"/>
      <c r="R24" s="152"/>
      <c r="S24" s="153"/>
      <c r="T24" s="153"/>
      <c r="U24" s="128"/>
      <c r="V24" s="128"/>
      <c r="W24" s="128"/>
    </row>
    <row r="25" spans="1:23" ht="48" customHeight="1" thickBot="1" x14ac:dyDescent="0.4">
      <c r="A25" s="128"/>
      <c r="B25" s="144"/>
      <c r="C25" s="149" t="s">
        <v>217</v>
      </c>
      <c r="D25" s="394" t="s">
        <v>218</v>
      </c>
      <c r="E25" s="394"/>
      <c r="F25" s="146"/>
      <c r="G25" s="395" t="s">
        <v>219</v>
      </c>
      <c r="H25" s="396"/>
      <c r="I25" s="396"/>
      <c r="J25" s="397"/>
      <c r="K25" s="150"/>
      <c r="L25" s="403" t="s">
        <v>220</v>
      </c>
      <c r="M25" s="404"/>
      <c r="N25" s="404"/>
      <c r="O25" s="404"/>
      <c r="P25" s="405"/>
      <c r="Q25" s="154"/>
      <c r="R25" s="155"/>
      <c r="S25" s="156"/>
      <c r="T25" s="156"/>
      <c r="U25" s="128"/>
      <c r="V25" s="128"/>
      <c r="W25" s="128"/>
    </row>
    <row r="26" spans="1:23" ht="27" thickBot="1" x14ac:dyDescent="0.3">
      <c r="A26" s="128"/>
      <c r="B26" s="157"/>
      <c r="C26" s="158"/>
      <c r="D26" s="159"/>
      <c r="E26" s="159"/>
      <c r="F26" s="159"/>
      <c r="G26" s="159"/>
      <c r="H26" s="159"/>
      <c r="I26" s="159"/>
      <c r="J26" s="159"/>
      <c r="K26" s="159"/>
      <c r="L26" s="159"/>
      <c r="M26" s="159"/>
      <c r="N26" s="159"/>
      <c r="O26" s="159"/>
      <c r="P26" s="159"/>
      <c r="Q26" s="160"/>
      <c r="R26" s="159"/>
      <c r="S26" s="161"/>
      <c r="T26" s="161"/>
      <c r="U26" s="128"/>
      <c r="V26" s="128"/>
      <c r="W26" s="128"/>
    </row>
    <row r="27" spans="1:23" ht="26.25" x14ac:dyDescent="0.25">
      <c r="A27" s="128"/>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23" ht="26.25" x14ac:dyDescent="0.25">
      <c r="A28" s="128"/>
      <c r="B28" s="128"/>
      <c r="C28" s="128"/>
      <c r="D28" s="128"/>
      <c r="E28" s="128"/>
      <c r="F28" s="128"/>
      <c r="G28" s="128"/>
      <c r="H28" s="128"/>
      <c r="I28" s="128"/>
      <c r="J28" s="128"/>
      <c r="K28" s="128"/>
      <c r="L28" s="128"/>
      <c r="M28" s="128"/>
      <c r="N28" s="128"/>
      <c r="O28" s="128"/>
      <c r="P28" s="128"/>
      <c r="Q28" s="128"/>
      <c r="R28" s="128"/>
      <c r="S28" s="128"/>
      <c r="T28" s="128"/>
      <c r="U28" s="128"/>
      <c r="V28" s="128"/>
      <c r="W28" s="128"/>
    </row>
  </sheetData>
  <mergeCells count="62">
    <mergeCell ref="F1:F2"/>
    <mergeCell ref="H1:H2"/>
    <mergeCell ref="B4:S4"/>
    <mergeCell ref="B5:H5"/>
    <mergeCell ref="K5:O5"/>
    <mergeCell ref="P5:S5"/>
    <mergeCell ref="J6:O6"/>
    <mergeCell ref="P6:P7"/>
    <mergeCell ref="Q6:Q7"/>
    <mergeCell ref="R6:S6"/>
    <mergeCell ref="B8:B12"/>
    <mergeCell ref="C8:C12"/>
    <mergeCell ref="D8:D12"/>
    <mergeCell ref="E8:E12"/>
    <mergeCell ref="F8:F12"/>
    <mergeCell ref="B6:B7"/>
    <mergeCell ref="C6:C7"/>
    <mergeCell ref="D6:D7"/>
    <mergeCell ref="E6:E7"/>
    <mergeCell ref="F6:F7"/>
    <mergeCell ref="G6:G7"/>
    <mergeCell ref="Q8:Q12"/>
    <mergeCell ref="H8:H12"/>
    <mergeCell ref="J8:J12"/>
    <mergeCell ref="K8:K12"/>
    <mergeCell ref="N8:N12"/>
    <mergeCell ref="B13:B15"/>
    <mergeCell ref="C13:C15"/>
    <mergeCell ref="D13:D15"/>
    <mergeCell ref="E13:E15"/>
    <mergeCell ref="F13:F15"/>
    <mergeCell ref="Q16:Q18"/>
    <mergeCell ref="Q13:Q15"/>
    <mergeCell ref="B16:B18"/>
    <mergeCell ref="C16:C18"/>
    <mergeCell ref="D16:D18"/>
    <mergeCell ref="E16:E18"/>
    <mergeCell ref="F16:F18"/>
    <mergeCell ref="H16:H18"/>
    <mergeCell ref="J16:J18"/>
    <mergeCell ref="K16:K18"/>
    <mergeCell ref="J13:J15"/>
    <mergeCell ref="K13:K15"/>
    <mergeCell ref="N13:N15"/>
    <mergeCell ref="O13:O15"/>
    <mergeCell ref="H13:H15"/>
    <mergeCell ref="G24:J24"/>
    <mergeCell ref="D25:E25"/>
    <mergeCell ref="G25:J25"/>
    <mergeCell ref="H6:I6"/>
    <mergeCell ref="L24:P24"/>
    <mergeCell ref="L25:P25"/>
    <mergeCell ref="B19:G19"/>
    <mergeCell ref="B20:P20"/>
    <mergeCell ref="B22:G22"/>
    <mergeCell ref="D24:E24"/>
    <mergeCell ref="N16:N18"/>
    <mergeCell ref="O16:O18"/>
    <mergeCell ref="P16:P18"/>
    <mergeCell ref="P13:P15"/>
    <mergeCell ref="O8:O12"/>
    <mergeCell ref="P8:P12"/>
  </mergeCells>
  <conditionalFormatting sqref="P8 P13 P16">
    <cfRule type="cellIs" dxfId="3" priority="2" operator="greaterThan">
      <formula>100</formula>
    </cfRule>
  </conditionalFormatting>
  <conditionalFormatting sqref="P21">
    <cfRule type="cellIs" dxfId="2" priority="1" operator="greaterThan">
      <formula>100</formula>
    </cfRule>
  </conditionalFormatting>
  <dataValidations count="1">
    <dataValidation allowBlank="1" showInputMessage="1" showErrorMessage="1" errorTitle="error" error="solo datos númericos" sqref="H8:H18 H21" xr:uid="{00000000-0002-0000-0900-000000000000}"/>
  </dataValidations>
  <printOptions horizontalCentered="1" verticalCentered="1"/>
  <pageMargins left="0" right="0" top="0" bottom="0" header="0.31496062992125984" footer="0.31496062992125984"/>
  <pageSetup paperSize="5" scale="20" orientation="landscape" r:id="rId1"/>
  <rowBreaks count="1" manualBreakCount="1">
    <brk id="26" max="17" man="1"/>
  </rowBreaks>
  <colBreaks count="1" manualBreakCount="1">
    <brk id="20" max="40"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E5:H13"/>
  <sheetViews>
    <sheetView workbookViewId="0">
      <selection activeCell="H10" sqref="H10"/>
    </sheetView>
  </sheetViews>
  <sheetFormatPr baseColWidth="10" defaultRowHeight="15" x14ac:dyDescent="0.25"/>
  <sheetData>
    <row r="5" spans="5:8" x14ac:dyDescent="0.25">
      <c r="E5">
        <v>1447</v>
      </c>
      <c r="F5">
        <f>+E5*2</f>
        <v>2894</v>
      </c>
      <c r="G5" s="241">
        <f>+E5/F5</f>
        <v>0.5</v>
      </c>
    </row>
    <row r="6" spans="5:8" x14ac:dyDescent="0.25">
      <c r="E6">
        <v>691</v>
      </c>
      <c r="F6" s="241">
        <v>0.5</v>
      </c>
    </row>
    <row r="7" spans="5:8" x14ac:dyDescent="0.25">
      <c r="E7">
        <f>SUM(E5:E6)</f>
        <v>2138</v>
      </c>
      <c r="F7" s="242">
        <f>+E7/F5</f>
        <v>0.73876986869384931</v>
      </c>
    </row>
    <row r="8" spans="5:8" x14ac:dyDescent="0.25">
      <c r="F8" s="243">
        <f>+F7-F6</f>
        <v>0.23876986869384931</v>
      </c>
    </row>
    <row r="10" spans="5:8" x14ac:dyDescent="0.25">
      <c r="E10">
        <v>1447</v>
      </c>
      <c r="F10">
        <v>2254</v>
      </c>
      <c r="G10" s="241">
        <f>+E10/F10</f>
        <v>0.6419698314108252</v>
      </c>
      <c r="H10" s="241">
        <f>+E7/F10</f>
        <v>0.94853593611357589</v>
      </c>
    </row>
    <row r="11" spans="5:8" x14ac:dyDescent="0.25">
      <c r="E11">
        <v>691</v>
      </c>
      <c r="F11" s="241">
        <v>0.5</v>
      </c>
    </row>
    <row r="12" spans="5:8" x14ac:dyDescent="0.25">
      <c r="E12">
        <f>SUM(E10:E11)</f>
        <v>2138</v>
      </c>
      <c r="F12" s="242">
        <f>+E12/F10</f>
        <v>0.94853593611357589</v>
      </c>
    </row>
    <row r="13" spans="5:8" x14ac:dyDescent="0.25">
      <c r="F13" s="243">
        <f>+F12-F11</f>
        <v>0.44853593611357589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28"/>
  <sheetViews>
    <sheetView view="pageBreakPreview" topLeftCell="D16" zoomScale="40" zoomScaleNormal="50" zoomScaleSheetLayoutView="40" zoomScalePageLayoutView="50" workbookViewId="0">
      <selection activeCell="D24" sqref="D24:E24"/>
    </sheetView>
  </sheetViews>
  <sheetFormatPr baseColWidth="10" defaultColWidth="10.85546875" defaultRowHeight="18.75" x14ac:dyDescent="0.3"/>
  <cols>
    <col min="1" max="1" width="4.28515625" style="133" customWidth="1"/>
    <col min="2" max="2" width="13" style="162" bestFit="1" customWidth="1"/>
    <col min="3" max="3" width="41.42578125" style="133" customWidth="1"/>
    <col min="4" max="4" width="41.7109375" style="133" customWidth="1"/>
    <col min="5" max="5" width="28.85546875" style="133" customWidth="1"/>
    <col min="6" max="6" width="29.7109375" style="133" customWidth="1"/>
    <col min="7" max="7" width="55.5703125" style="133" customWidth="1"/>
    <col min="8" max="8" width="32" style="133" customWidth="1"/>
    <col min="9" max="9" width="52.85546875" style="133" hidden="1" customWidth="1"/>
    <col min="10" max="14" width="41.140625" style="133" customWidth="1"/>
    <col min="15" max="15" width="38.85546875" style="133" customWidth="1"/>
    <col min="16" max="16" width="33.140625" style="163" customWidth="1"/>
    <col min="17" max="18" width="36.42578125" style="133" customWidth="1"/>
    <col min="19" max="19" width="3.7109375" style="133" customWidth="1"/>
    <col min="20" max="16384" width="10.85546875" style="133"/>
  </cols>
  <sheetData>
    <row r="1" spans="1:21" ht="132" customHeight="1" thickBot="1" x14ac:dyDescent="0.5">
      <c r="A1" s="128"/>
      <c r="B1" s="129"/>
      <c r="C1" s="130"/>
      <c r="D1" s="130"/>
      <c r="E1" s="130"/>
      <c r="F1" s="449"/>
      <c r="G1" s="131"/>
      <c r="H1" s="451"/>
      <c r="I1" s="130"/>
      <c r="J1" s="130"/>
      <c r="K1" s="130"/>
      <c r="L1" s="130"/>
      <c r="M1" s="130"/>
      <c r="N1" s="130"/>
      <c r="O1" s="130"/>
      <c r="P1" s="132"/>
      <c r="Q1" s="130"/>
      <c r="R1" s="130"/>
      <c r="S1" s="128"/>
      <c r="T1" s="128"/>
      <c r="U1" s="128"/>
    </row>
    <row r="2" spans="1:21" ht="7.5" hidden="1" customHeight="1" x14ac:dyDescent="0.25">
      <c r="A2" s="128"/>
      <c r="B2" s="129"/>
      <c r="C2" s="130"/>
      <c r="D2" s="130"/>
      <c r="E2" s="130"/>
      <c r="F2" s="450"/>
      <c r="G2" s="134"/>
      <c r="H2" s="451"/>
      <c r="I2" s="130"/>
      <c r="J2" s="130"/>
      <c r="K2" s="130"/>
      <c r="L2" s="130"/>
      <c r="M2" s="130"/>
      <c r="N2" s="130"/>
      <c r="O2" s="130"/>
      <c r="P2" s="132"/>
      <c r="Q2" s="130"/>
      <c r="R2" s="130"/>
      <c r="S2" s="128"/>
      <c r="T2" s="128"/>
      <c r="U2" s="128"/>
    </row>
    <row r="3" spans="1:21" ht="27" hidden="1" thickBot="1" x14ac:dyDescent="0.3">
      <c r="A3" s="128"/>
      <c r="B3" s="129"/>
      <c r="C3" s="130"/>
      <c r="D3" s="130"/>
      <c r="E3" s="130"/>
      <c r="F3" s="130"/>
      <c r="G3" s="130"/>
      <c r="H3" s="130"/>
      <c r="I3" s="130"/>
      <c r="J3" s="130"/>
      <c r="K3" s="130"/>
      <c r="L3" s="130"/>
      <c r="M3" s="130"/>
      <c r="N3" s="130"/>
      <c r="O3" s="130"/>
      <c r="P3" s="132"/>
      <c r="Q3" s="130"/>
      <c r="R3" s="130"/>
      <c r="S3" s="128"/>
      <c r="T3" s="128"/>
      <c r="U3" s="128"/>
    </row>
    <row r="4" spans="1:21" ht="64.5" customHeight="1" thickBot="1" x14ac:dyDescent="0.3">
      <c r="A4" s="128"/>
      <c r="B4" s="452" t="s">
        <v>176</v>
      </c>
      <c r="C4" s="453"/>
      <c r="D4" s="453"/>
      <c r="E4" s="453"/>
      <c r="F4" s="453"/>
      <c r="G4" s="453"/>
      <c r="H4" s="453"/>
      <c r="I4" s="453"/>
      <c r="J4" s="453"/>
      <c r="K4" s="453"/>
      <c r="L4" s="453"/>
      <c r="M4" s="453"/>
      <c r="N4" s="453"/>
      <c r="O4" s="453"/>
      <c r="P4" s="453"/>
      <c r="Q4" s="453"/>
      <c r="R4" s="454"/>
      <c r="S4" s="128"/>
      <c r="T4" s="128"/>
      <c r="U4" s="128"/>
    </row>
    <row r="5" spans="1:21" ht="35.25" customHeight="1" thickBot="1" x14ac:dyDescent="0.3">
      <c r="A5" s="128"/>
      <c r="B5" s="455" t="s">
        <v>177</v>
      </c>
      <c r="C5" s="456"/>
      <c r="D5" s="456"/>
      <c r="E5" s="456"/>
      <c r="F5" s="456"/>
      <c r="G5" s="456"/>
      <c r="H5" s="457"/>
      <c r="I5" s="135"/>
      <c r="J5" s="135"/>
      <c r="K5" s="456"/>
      <c r="L5" s="456"/>
      <c r="M5" s="456"/>
      <c r="N5" s="457"/>
      <c r="O5" s="455" t="s">
        <v>178</v>
      </c>
      <c r="P5" s="458"/>
      <c r="Q5" s="458"/>
      <c r="R5" s="459"/>
      <c r="S5" s="128"/>
      <c r="T5" s="128"/>
      <c r="U5" s="128"/>
    </row>
    <row r="6" spans="1:21" s="136" customFormat="1" ht="56.25" customHeight="1" thickBot="1" x14ac:dyDescent="0.5">
      <c r="A6" s="128"/>
      <c r="B6" s="444" t="s">
        <v>17</v>
      </c>
      <c r="C6" s="445" t="s">
        <v>179</v>
      </c>
      <c r="D6" s="436" t="s">
        <v>180</v>
      </c>
      <c r="E6" s="436" t="s">
        <v>181</v>
      </c>
      <c r="F6" s="436" t="s">
        <v>182</v>
      </c>
      <c r="G6" s="436" t="s">
        <v>61</v>
      </c>
      <c r="H6" s="498" t="s">
        <v>183</v>
      </c>
      <c r="I6" s="435"/>
      <c r="J6" s="501" t="s">
        <v>184</v>
      </c>
      <c r="K6" s="502"/>
      <c r="L6" s="502"/>
      <c r="M6" s="502"/>
      <c r="N6" s="503"/>
      <c r="O6" s="436" t="s">
        <v>185</v>
      </c>
      <c r="P6" s="437" t="s">
        <v>186</v>
      </c>
      <c r="Q6" s="436" t="s">
        <v>79</v>
      </c>
      <c r="R6" s="436"/>
      <c r="S6" s="128"/>
      <c r="T6" s="128"/>
      <c r="U6" s="128"/>
    </row>
    <row r="7" spans="1:21" s="139" customFormat="1" ht="129" customHeight="1" thickBot="1" x14ac:dyDescent="0.5">
      <c r="A7" s="128"/>
      <c r="B7" s="444"/>
      <c r="C7" s="446"/>
      <c r="D7" s="436"/>
      <c r="E7" s="436"/>
      <c r="F7" s="436"/>
      <c r="G7" s="436"/>
      <c r="H7" s="499"/>
      <c r="I7" s="500"/>
      <c r="J7" s="137" t="s">
        <v>189</v>
      </c>
      <c r="K7" s="137" t="s">
        <v>190</v>
      </c>
      <c r="L7" s="137" t="s">
        <v>191</v>
      </c>
      <c r="M7" s="137" t="s">
        <v>193</v>
      </c>
      <c r="N7" s="137" t="s">
        <v>194</v>
      </c>
      <c r="O7" s="436"/>
      <c r="P7" s="437"/>
      <c r="Q7" s="138" t="s">
        <v>195</v>
      </c>
      <c r="R7" s="138" t="s">
        <v>120</v>
      </c>
      <c r="S7" s="128"/>
      <c r="T7" s="128"/>
      <c r="U7" s="128"/>
    </row>
    <row r="8" spans="1:21" s="175" customFormat="1" ht="119.25" customHeight="1" x14ac:dyDescent="0.25">
      <c r="A8" s="174"/>
      <c r="B8" s="492">
        <v>1</v>
      </c>
      <c r="C8" s="491" t="s">
        <v>196</v>
      </c>
      <c r="D8" s="494" t="s">
        <v>197</v>
      </c>
      <c r="E8" s="486">
        <v>1</v>
      </c>
      <c r="F8" s="497" t="s">
        <v>198</v>
      </c>
      <c r="G8" s="213" t="s">
        <v>309</v>
      </c>
      <c r="H8" s="490">
        <f>+'OAP-DIROS'!H8</f>
        <v>0.4</v>
      </c>
      <c r="I8" s="210">
        <f>+'OAP-DIROS'!I8</f>
        <v>0.51</v>
      </c>
      <c r="J8" s="489">
        <f>+'OAP-DIROS'!J8</f>
        <v>0.4</v>
      </c>
      <c r="K8" s="490">
        <f>+'OAP-DIROS'!K8</f>
        <v>0.45557411193457714</v>
      </c>
      <c r="L8" s="491"/>
      <c r="M8" s="486">
        <f>+'OAP-DIROS'!N8</f>
        <v>0.6</v>
      </c>
      <c r="N8" s="486">
        <f>+'OAP-DIROS'!O8</f>
        <v>0.5444258880654228</v>
      </c>
      <c r="O8" s="486">
        <f>+'OAP-DIROS'!P8</f>
        <v>1</v>
      </c>
      <c r="P8" s="486">
        <f>+'OAP-DIROS'!Q8</f>
        <v>0.4</v>
      </c>
      <c r="Q8" s="249" t="s">
        <v>341</v>
      </c>
      <c r="R8" s="249" t="s">
        <v>324</v>
      </c>
      <c r="S8" s="174"/>
      <c r="T8" s="174"/>
      <c r="U8" s="174"/>
    </row>
    <row r="9" spans="1:21" s="175" customFormat="1" ht="119.25" customHeight="1" x14ac:dyDescent="0.25">
      <c r="A9" s="174"/>
      <c r="B9" s="480"/>
      <c r="C9" s="477"/>
      <c r="D9" s="495"/>
      <c r="E9" s="487"/>
      <c r="F9" s="477"/>
      <c r="G9" s="214" t="s">
        <v>310</v>
      </c>
      <c r="H9" s="477"/>
      <c r="I9" s="215">
        <f>+'OAP-DIROS'!I9</f>
        <v>0.35384615384615387</v>
      </c>
      <c r="J9" s="482"/>
      <c r="K9" s="477"/>
      <c r="L9" s="477"/>
      <c r="M9" s="487"/>
      <c r="N9" s="487"/>
      <c r="O9" s="487"/>
      <c r="P9" s="487"/>
      <c r="Q9" s="177" t="s">
        <v>342</v>
      </c>
      <c r="R9" s="177" t="s">
        <v>325</v>
      </c>
      <c r="S9" s="174"/>
      <c r="T9" s="174"/>
      <c r="U9" s="174"/>
    </row>
    <row r="10" spans="1:21" s="175" customFormat="1" ht="119.25" customHeight="1" x14ac:dyDescent="0.25">
      <c r="A10" s="174"/>
      <c r="B10" s="480"/>
      <c r="C10" s="477"/>
      <c r="D10" s="495"/>
      <c r="E10" s="487"/>
      <c r="F10" s="477"/>
      <c r="G10" s="214" t="s">
        <v>311</v>
      </c>
      <c r="H10" s="477"/>
      <c r="I10" s="215">
        <f>+'OAP-DIROS'!I10</f>
        <v>0.35535714285714287</v>
      </c>
      <c r="J10" s="482"/>
      <c r="K10" s="477"/>
      <c r="L10" s="477"/>
      <c r="M10" s="487"/>
      <c r="N10" s="487"/>
      <c r="O10" s="487"/>
      <c r="P10" s="487"/>
      <c r="Q10" s="177" t="s">
        <v>343</v>
      </c>
      <c r="R10" s="177" t="s">
        <v>326</v>
      </c>
      <c r="S10" s="174"/>
      <c r="T10" s="174"/>
      <c r="U10" s="174"/>
    </row>
    <row r="11" spans="1:21" s="175" customFormat="1" ht="119.25" customHeight="1" x14ac:dyDescent="0.25">
      <c r="A11" s="174"/>
      <c r="B11" s="480"/>
      <c r="C11" s="477"/>
      <c r="D11" s="495"/>
      <c r="E11" s="487"/>
      <c r="F11" s="477"/>
      <c r="G11" s="214" t="s">
        <v>312</v>
      </c>
      <c r="H11" s="477"/>
      <c r="I11" s="215">
        <f>+'OAP-DIROS'!I11</f>
        <v>0.42692307692307691</v>
      </c>
      <c r="J11" s="482"/>
      <c r="K11" s="477"/>
      <c r="L11" s="477"/>
      <c r="M11" s="487"/>
      <c r="N11" s="487"/>
      <c r="O11" s="487"/>
      <c r="P11" s="487"/>
      <c r="Q11" s="177" t="s">
        <v>344</v>
      </c>
      <c r="R11" s="177" t="s">
        <v>327</v>
      </c>
      <c r="S11" s="174"/>
      <c r="T11" s="174"/>
      <c r="U11" s="174"/>
    </row>
    <row r="12" spans="1:21" s="175" customFormat="1" ht="119.25" customHeight="1" thickBot="1" x14ac:dyDescent="0.3">
      <c r="A12" s="174"/>
      <c r="B12" s="493"/>
      <c r="C12" s="478"/>
      <c r="D12" s="496"/>
      <c r="E12" s="488"/>
      <c r="F12" s="477"/>
      <c r="G12" s="214" t="s">
        <v>313</v>
      </c>
      <c r="H12" s="478"/>
      <c r="I12" s="215">
        <f>+'OAP-DIROS'!I12</f>
        <v>0.63174418604651161</v>
      </c>
      <c r="J12" s="482"/>
      <c r="K12" s="478"/>
      <c r="L12" s="478"/>
      <c r="M12" s="488"/>
      <c r="N12" s="488"/>
      <c r="O12" s="488"/>
      <c r="P12" s="488"/>
      <c r="Q12" s="177" t="s">
        <v>345</v>
      </c>
      <c r="R12" s="177" t="s">
        <v>328</v>
      </c>
      <c r="S12" s="174"/>
      <c r="T12" s="174"/>
      <c r="U12" s="174"/>
    </row>
    <row r="13" spans="1:21" ht="228" customHeight="1" x14ac:dyDescent="0.25">
      <c r="A13" s="128"/>
      <c r="B13" s="479">
        <v>2</v>
      </c>
      <c r="C13" s="476" t="s">
        <v>196</v>
      </c>
      <c r="D13" s="491" t="s">
        <v>204</v>
      </c>
      <c r="E13" s="474">
        <v>1</v>
      </c>
      <c r="F13" s="481" t="s">
        <v>198</v>
      </c>
      <c r="G13" s="214" t="s">
        <v>205</v>
      </c>
      <c r="H13" s="474">
        <f>+'OAP-DIROS'!H13</f>
        <v>0.3</v>
      </c>
      <c r="I13" s="215">
        <f>+'OAP-DIROS'!I13</f>
        <v>0.66</v>
      </c>
      <c r="J13" s="483">
        <v>0.4</v>
      </c>
      <c r="K13" s="474">
        <f>+'OAP-DIROS'!K13</f>
        <v>0.57333333333333336</v>
      </c>
      <c r="L13" s="484"/>
      <c r="M13" s="474">
        <f>+'OAP-DIROS'!N13</f>
        <v>0.6</v>
      </c>
      <c r="N13" s="474">
        <f>+'OAP-DIROS'!O13</f>
        <v>0.42666666666666658</v>
      </c>
      <c r="O13" s="474">
        <f>+'OAP-DIROS'!P13</f>
        <v>1</v>
      </c>
      <c r="P13" s="474">
        <f>+'OAP-DIROS'!Q13</f>
        <v>0.3</v>
      </c>
      <c r="Q13" s="177" t="s">
        <v>346</v>
      </c>
      <c r="R13" s="177" t="s">
        <v>329</v>
      </c>
      <c r="S13" s="128"/>
      <c r="T13" s="128"/>
      <c r="U13" s="128"/>
    </row>
    <row r="14" spans="1:21" ht="228" customHeight="1" x14ac:dyDescent="0.25">
      <c r="A14" s="128"/>
      <c r="B14" s="480"/>
      <c r="C14" s="477"/>
      <c r="D14" s="477"/>
      <c r="E14" s="475"/>
      <c r="F14" s="482"/>
      <c r="G14" s="214" t="s">
        <v>206</v>
      </c>
      <c r="H14" s="475"/>
      <c r="I14" s="215">
        <f>+'OAP-DIROS'!I14</f>
        <v>0.5</v>
      </c>
      <c r="J14" s="482"/>
      <c r="K14" s="475"/>
      <c r="L14" s="485"/>
      <c r="M14" s="475"/>
      <c r="N14" s="475"/>
      <c r="O14" s="475"/>
      <c r="P14" s="475"/>
      <c r="Q14" s="177" t="s">
        <v>336</v>
      </c>
      <c r="R14" s="177" t="s">
        <v>333</v>
      </c>
      <c r="S14" s="128"/>
      <c r="T14" s="128"/>
      <c r="U14" s="128"/>
    </row>
    <row r="15" spans="1:21" ht="228" customHeight="1" x14ac:dyDescent="0.25">
      <c r="A15" s="128"/>
      <c r="B15" s="480"/>
      <c r="C15" s="478"/>
      <c r="D15" s="477"/>
      <c r="E15" s="475"/>
      <c r="F15" s="482"/>
      <c r="G15" s="214" t="s">
        <v>207</v>
      </c>
      <c r="H15" s="475"/>
      <c r="I15" s="215">
        <f>+'OAP-DIROS'!I15</f>
        <v>0.56000000000000005</v>
      </c>
      <c r="J15" s="482"/>
      <c r="K15" s="475"/>
      <c r="L15" s="485"/>
      <c r="M15" s="475"/>
      <c r="N15" s="475"/>
      <c r="O15" s="475"/>
      <c r="P15" s="475"/>
      <c r="Q15" s="177" t="s">
        <v>347</v>
      </c>
      <c r="R15" s="177" t="s">
        <v>330</v>
      </c>
      <c r="S15" s="128"/>
      <c r="T15" s="128"/>
      <c r="U15" s="128"/>
    </row>
    <row r="16" spans="1:21" ht="159.75" customHeight="1" x14ac:dyDescent="0.25">
      <c r="A16" s="128"/>
      <c r="B16" s="479">
        <v>3</v>
      </c>
      <c r="C16" s="476" t="s">
        <v>196</v>
      </c>
      <c r="D16" s="476" t="s">
        <v>208</v>
      </c>
      <c r="E16" s="474">
        <v>1</v>
      </c>
      <c r="F16" s="481" t="s">
        <v>198</v>
      </c>
      <c r="G16" s="213" t="s">
        <v>209</v>
      </c>
      <c r="H16" s="474">
        <f>+'OAP-DIROS'!H16</f>
        <v>0.3</v>
      </c>
      <c r="I16" s="215">
        <f>+'OAP-DIROS'!I16</f>
        <v>0.63</v>
      </c>
      <c r="J16" s="483">
        <v>0.4</v>
      </c>
      <c r="K16" s="474">
        <f>+'OAP-DIROS'!K16</f>
        <v>0.48666666666666664</v>
      </c>
      <c r="L16" s="484"/>
      <c r="M16" s="474">
        <f>+'OAP-DIROS'!N16</f>
        <v>0.6</v>
      </c>
      <c r="N16" s="474">
        <f>+'OAP-DIROS'!O16</f>
        <v>0.51333333333333331</v>
      </c>
      <c r="O16" s="474">
        <f>+'OAP-DIROS'!P16</f>
        <v>1</v>
      </c>
      <c r="P16" s="474">
        <f>+'OAP-DIROS'!Q16</f>
        <v>0.3</v>
      </c>
      <c r="Q16" s="177" t="s">
        <v>348</v>
      </c>
      <c r="R16" s="177" t="s">
        <v>331</v>
      </c>
      <c r="S16" s="128"/>
      <c r="T16" s="128"/>
      <c r="U16" s="128"/>
    </row>
    <row r="17" spans="1:21" ht="159.75" customHeight="1" x14ac:dyDescent="0.25">
      <c r="A17" s="128"/>
      <c r="B17" s="480"/>
      <c r="C17" s="477"/>
      <c r="D17" s="477"/>
      <c r="E17" s="475"/>
      <c r="F17" s="482"/>
      <c r="G17" s="214" t="s">
        <v>210</v>
      </c>
      <c r="H17" s="475"/>
      <c r="I17" s="215">
        <f>+'OAP-DIROS'!I17</f>
        <v>0.33</v>
      </c>
      <c r="J17" s="482"/>
      <c r="K17" s="475"/>
      <c r="L17" s="485"/>
      <c r="M17" s="475"/>
      <c r="N17" s="475"/>
      <c r="O17" s="475"/>
      <c r="P17" s="475"/>
      <c r="Q17" s="177" t="s">
        <v>349</v>
      </c>
      <c r="R17" s="177" t="s">
        <v>332</v>
      </c>
      <c r="S17" s="128"/>
      <c r="T17" s="128"/>
      <c r="U17" s="128"/>
    </row>
    <row r="18" spans="1:21" ht="159.75" customHeight="1" thickBot="1" x14ac:dyDescent="0.3">
      <c r="A18" s="128"/>
      <c r="B18" s="480"/>
      <c r="C18" s="478"/>
      <c r="D18" s="478"/>
      <c r="E18" s="475"/>
      <c r="F18" s="482"/>
      <c r="G18" s="214" t="s">
        <v>211</v>
      </c>
      <c r="H18" s="475"/>
      <c r="I18" s="215">
        <f>+'OAP-DIROS'!I18</f>
        <v>0.5</v>
      </c>
      <c r="J18" s="482"/>
      <c r="K18" s="475"/>
      <c r="L18" s="485"/>
      <c r="M18" s="475"/>
      <c r="N18" s="475"/>
      <c r="O18" s="475"/>
      <c r="P18" s="475"/>
      <c r="Q18" s="177" t="s">
        <v>334</v>
      </c>
      <c r="R18" s="177" t="s">
        <v>308</v>
      </c>
      <c r="S18" s="128"/>
      <c r="T18" s="128"/>
      <c r="U18" s="128"/>
    </row>
    <row r="19" spans="1:21" ht="27" customHeight="1" thickBot="1" x14ac:dyDescent="0.3">
      <c r="A19" s="128"/>
      <c r="B19" s="471" t="s">
        <v>48</v>
      </c>
      <c r="C19" s="472"/>
      <c r="D19" s="472"/>
      <c r="E19" s="472"/>
      <c r="F19" s="472"/>
      <c r="G19" s="473"/>
      <c r="H19" s="217">
        <f>IF(SUM(H8:H18)&gt;100%,"supera el 100%",SUM(H8:H18))</f>
        <v>1</v>
      </c>
      <c r="I19" s="218"/>
      <c r="J19" s="212"/>
      <c r="K19" s="219">
        <f>+'OAP-DIROS'!K19</f>
        <v>0.50519137064485908</v>
      </c>
      <c r="L19" s="220"/>
      <c r="M19" s="220"/>
      <c r="N19" s="212">
        <f>AVERAGE(N8:N18)</f>
        <v>0.49480862935514097</v>
      </c>
      <c r="O19" s="220"/>
      <c r="P19" s="212">
        <f>+'OAP-DIROS'!Q19</f>
        <v>1</v>
      </c>
      <c r="Q19" s="251">
        <v>0</v>
      </c>
      <c r="R19" s="251">
        <v>0</v>
      </c>
      <c r="S19" s="128"/>
      <c r="T19" s="128"/>
      <c r="U19" s="128"/>
    </row>
    <row r="20" spans="1:21" ht="27" customHeight="1" x14ac:dyDescent="0.3">
      <c r="A20" s="128"/>
      <c r="B20" s="468" t="s">
        <v>212</v>
      </c>
      <c r="C20" s="469"/>
      <c r="D20" s="469"/>
      <c r="E20" s="469"/>
      <c r="F20" s="469"/>
      <c r="G20" s="469"/>
      <c r="H20" s="469"/>
      <c r="I20" s="469"/>
      <c r="J20" s="469"/>
      <c r="K20" s="469"/>
      <c r="L20" s="469"/>
      <c r="M20" s="469"/>
      <c r="N20" s="469"/>
      <c r="O20" s="470"/>
      <c r="P20" s="221"/>
      <c r="Q20" s="184"/>
      <c r="R20" s="184"/>
      <c r="S20" s="128"/>
      <c r="T20" s="128"/>
      <c r="U20" s="128"/>
    </row>
    <row r="21" spans="1:21" ht="305.25" customHeight="1" thickBot="1" x14ac:dyDescent="0.3">
      <c r="A21" s="128"/>
      <c r="B21" s="222">
        <v>1</v>
      </c>
      <c r="C21" s="223" t="s">
        <v>196</v>
      </c>
      <c r="D21" s="223" t="s">
        <v>213</v>
      </c>
      <c r="E21" s="211">
        <v>1</v>
      </c>
      <c r="F21" s="216" t="s">
        <v>214</v>
      </c>
      <c r="G21" s="224" t="s">
        <v>215</v>
      </c>
      <c r="H21" s="211">
        <f>+'OAP-DIROS'!H21</f>
        <v>0.05</v>
      </c>
      <c r="I21" s="215">
        <f>+'OAP-DIROS'!I21</f>
        <v>0.5</v>
      </c>
      <c r="J21" s="225">
        <v>0.2</v>
      </c>
      <c r="K21" s="226">
        <f>+'OAP-DIROS'!K21</f>
        <v>2.5000000000000001E-2</v>
      </c>
      <c r="L21" s="227"/>
      <c r="M21" s="211">
        <f>+'OAP-DIROS'!N21</f>
        <v>0.8</v>
      </c>
      <c r="N21" s="211">
        <f>+'OAP-DIROS'!O21</f>
        <v>2.5000000000000001E-2</v>
      </c>
      <c r="O21" s="211">
        <f>+'OAP-DIROS'!P21</f>
        <v>0.05</v>
      </c>
      <c r="P21" s="211">
        <f>+'OAP-DIROS'!Q21</f>
        <v>0.05</v>
      </c>
      <c r="Q21" s="177" t="s">
        <v>350</v>
      </c>
      <c r="R21" s="199" t="s">
        <v>307</v>
      </c>
      <c r="S21" s="128"/>
      <c r="T21" s="128"/>
      <c r="U21" s="128"/>
    </row>
    <row r="22" spans="1:21" ht="27" customHeight="1" thickBot="1" x14ac:dyDescent="0.3">
      <c r="A22" s="128"/>
      <c r="B22" s="471" t="s">
        <v>48</v>
      </c>
      <c r="C22" s="472"/>
      <c r="D22" s="472"/>
      <c r="E22" s="472"/>
      <c r="F22" s="472"/>
      <c r="G22" s="473"/>
      <c r="H22" s="217">
        <f>+'OAP-DIROS'!H22</f>
        <v>1.05</v>
      </c>
      <c r="I22" s="218"/>
      <c r="J22" s="218"/>
      <c r="K22" s="219">
        <f>+'OAP-DIROS'!K22</f>
        <v>0.53019137064485911</v>
      </c>
      <c r="L22" s="220"/>
      <c r="M22" s="220"/>
      <c r="N22" s="212">
        <f>+'OAP-DIROS'!O22</f>
        <v>0.51980862935514094</v>
      </c>
      <c r="O22" s="220"/>
      <c r="P22" s="228">
        <f>+'OAP-DIROS'!Q22</f>
        <v>1.05</v>
      </c>
      <c r="Q22" s="209">
        <f>+'OAP-DIROS'!R22</f>
        <v>0</v>
      </c>
      <c r="R22" s="209">
        <f>+'OAP-DIROS'!S22</f>
        <v>0</v>
      </c>
      <c r="S22" s="128"/>
      <c r="T22" s="128"/>
      <c r="U22" s="128"/>
    </row>
    <row r="23" spans="1:21" ht="29.25" customHeight="1" thickBot="1" x14ac:dyDescent="0.3">
      <c r="A23" s="128"/>
      <c r="B23" s="144"/>
      <c r="C23" s="145"/>
      <c r="D23" s="146"/>
      <c r="E23" s="146"/>
      <c r="F23" s="145"/>
      <c r="G23" s="145"/>
      <c r="H23" s="146"/>
      <c r="I23" s="146"/>
      <c r="J23" s="146"/>
      <c r="K23" s="146"/>
      <c r="L23" s="146"/>
      <c r="M23" s="146"/>
      <c r="N23" s="146"/>
      <c r="O23" s="146"/>
      <c r="P23" s="147"/>
      <c r="Q23" s="146"/>
      <c r="R23" s="148"/>
      <c r="S23" s="128"/>
      <c r="T23" s="128"/>
      <c r="U23" s="128"/>
    </row>
    <row r="24" spans="1:21" ht="48.75" customHeight="1" x14ac:dyDescent="0.4">
      <c r="A24" s="128"/>
      <c r="B24" s="144"/>
      <c r="C24" s="149" t="s">
        <v>216</v>
      </c>
      <c r="D24" s="460">
        <f>+'OAP-DIROS'!D24</f>
        <v>44928</v>
      </c>
      <c r="E24" s="460"/>
      <c r="F24" s="146"/>
      <c r="G24" s="461" t="str">
        <f>+'OAP-DIROS'!G24</f>
        <v>Francisco Augusto Giuseppe Rossi Buenaventura</v>
      </c>
      <c r="H24" s="462"/>
      <c r="I24" s="462"/>
      <c r="J24" s="463"/>
      <c r="K24" s="150"/>
      <c r="L24" s="464" t="str">
        <f>+'OAP-DIROS'!L24</f>
        <v>Sandra Patricia Gomez Montoya</v>
      </c>
      <c r="M24" s="401"/>
      <c r="N24" s="401"/>
      <c r="O24" s="402"/>
      <c r="P24" s="151"/>
      <c r="Q24" s="152"/>
      <c r="R24" s="153"/>
      <c r="S24" s="128"/>
      <c r="T24" s="128"/>
      <c r="U24" s="128"/>
    </row>
    <row r="25" spans="1:21" ht="48" customHeight="1" thickBot="1" x14ac:dyDescent="0.4">
      <c r="A25" s="128"/>
      <c r="B25" s="144"/>
      <c r="C25" s="149" t="s">
        <v>217</v>
      </c>
      <c r="D25" s="394" t="s">
        <v>218</v>
      </c>
      <c r="E25" s="394"/>
      <c r="F25" s="146"/>
      <c r="G25" s="395" t="s">
        <v>219</v>
      </c>
      <c r="H25" s="396"/>
      <c r="I25" s="396"/>
      <c r="J25" s="397"/>
      <c r="K25" s="150"/>
      <c r="L25" s="465" t="s">
        <v>221</v>
      </c>
      <c r="M25" s="466"/>
      <c r="N25" s="466"/>
      <c r="O25" s="467"/>
      <c r="P25" s="154"/>
      <c r="Q25" s="155"/>
      <c r="R25" s="156"/>
      <c r="S25" s="128"/>
      <c r="T25" s="128"/>
      <c r="U25" s="128"/>
    </row>
    <row r="26" spans="1:21" ht="27" thickBot="1" x14ac:dyDescent="0.3">
      <c r="A26" s="128"/>
      <c r="B26" s="157"/>
      <c r="C26" s="158"/>
      <c r="D26" s="159"/>
      <c r="E26" s="159"/>
      <c r="F26" s="159"/>
      <c r="G26" s="159"/>
      <c r="H26" s="159"/>
      <c r="I26" s="159"/>
      <c r="J26" s="159"/>
      <c r="K26" s="159"/>
      <c r="L26" s="159"/>
      <c r="M26" s="159"/>
      <c r="N26" s="159"/>
      <c r="O26" s="159"/>
      <c r="P26" s="160"/>
      <c r="Q26" s="159"/>
      <c r="R26" s="161"/>
      <c r="S26" s="128"/>
      <c r="T26" s="128"/>
      <c r="U26" s="128"/>
    </row>
    <row r="27" spans="1:21" ht="26.25" x14ac:dyDescent="0.25">
      <c r="A27" s="128"/>
      <c r="B27" s="128"/>
      <c r="C27" s="128"/>
      <c r="D27" s="128"/>
      <c r="E27" s="128"/>
      <c r="F27" s="128"/>
      <c r="G27" s="128"/>
      <c r="H27" s="128"/>
      <c r="I27" s="128"/>
      <c r="J27" s="128"/>
      <c r="K27" s="128"/>
      <c r="L27" s="128"/>
      <c r="M27" s="128"/>
      <c r="N27" s="128"/>
      <c r="O27" s="128"/>
      <c r="P27" s="128"/>
      <c r="Q27" s="128"/>
      <c r="R27" s="128"/>
      <c r="S27" s="128"/>
      <c r="T27" s="128"/>
      <c r="U27" s="128"/>
    </row>
    <row r="28" spans="1:21" ht="26.25" x14ac:dyDescent="0.25">
      <c r="A28" s="128"/>
      <c r="B28" s="128"/>
      <c r="C28" s="128"/>
      <c r="D28" s="128"/>
      <c r="E28" s="128"/>
      <c r="F28" s="128"/>
      <c r="G28" s="128"/>
      <c r="H28" s="128"/>
      <c r="I28" s="128"/>
      <c r="J28" s="128"/>
      <c r="K28" s="128"/>
      <c r="L28" s="128"/>
      <c r="M28" s="128"/>
      <c r="N28" s="128"/>
      <c r="O28" s="128"/>
      <c r="P28" s="128"/>
      <c r="Q28" s="128"/>
      <c r="R28" s="128"/>
      <c r="S28" s="128"/>
      <c r="T28" s="128"/>
      <c r="U28" s="128"/>
    </row>
  </sheetData>
  <mergeCells count="65">
    <mergeCell ref="P6:P7"/>
    <mergeCell ref="Q6:R6"/>
    <mergeCell ref="F1:F2"/>
    <mergeCell ref="H1:H2"/>
    <mergeCell ref="B4:R4"/>
    <mergeCell ref="B5:H5"/>
    <mergeCell ref="K5:N5"/>
    <mergeCell ref="O5:R5"/>
    <mergeCell ref="B6:B7"/>
    <mergeCell ref="C6:C7"/>
    <mergeCell ref="D6:D7"/>
    <mergeCell ref="E6:E7"/>
    <mergeCell ref="F6:F7"/>
    <mergeCell ref="G6:G7"/>
    <mergeCell ref="H6:I7"/>
    <mergeCell ref="J6:N6"/>
    <mergeCell ref="O6:O7"/>
    <mergeCell ref="B8:B12"/>
    <mergeCell ref="C8:C12"/>
    <mergeCell ref="D8:D12"/>
    <mergeCell ref="E8:E12"/>
    <mergeCell ref="F8:F12"/>
    <mergeCell ref="N8:N12"/>
    <mergeCell ref="O8:O12"/>
    <mergeCell ref="B13:B15"/>
    <mergeCell ref="E13:E15"/>
    <mergeCell ref="F13:F15"/>
    <mergeCell ref="H8:H12"/>
    <mergeCell ref="C13:C15"/>
    <mergeCell ref="H13:H15"/>
    <mergeCell ref="D13:D15"/>
    <mergeCell ref="P8:P12"/>
    <mergeCell ref="J8:J12"/>
    <mergeCell ref="K8:K12"/>
    <mergeCell ref="L8:L12"/>
    <mergeCell ref="M8:M12"/>
    <mergeCell ref="P13:P15"/>
    <mergeCell ref="M13:M15"/>
    <mergeCell ref="N13:N15"/>
    <mergeCell ref="J13:J15"/>
    <mergeCell ref="K13:K15"/>
    <mergeCell ref="L13:L15"/>
    <mergeCell ref="O13:O15"/>
    <mergeCell ref="B20:O20"/>
    <mergeCell ref="B19:G19"/>
    <mergeCell ref="B22:G22"/>
    <mergeCell ref="O16:O18"/>
    <mergeCell ref="P16:P18"/>
    <mergeCell ref="C16:C18"/>
    <mergeCell ref="B16:B18"/>
    <mergeCell ref="D16:D18"/>
    <mergeCell ref="E16:E18"/>
    <mergeCell ref="F16:F18"/>
    <mergeCell ref="M16:M18"/>
    <mergeCell ref="N16:N18"/>
    <mergeCell ref="H16:H18"/>
    <mergeCell ref="J16:J18"/>
    <mergeCell ref="K16:K18"/>
    <mergeCell ref="L16:L18"/>
    <mergeCell ref="D24:E24"/>
    <mergeCell ref="G24:J24"/>
    <mergeCell ref="L24:O24"/>
    <mergeCell ref="D25:E25"/>
    <mergeCell ref="G25:J25"/>
    <mergeCell ref="L25:O25"/>
  </mergeCells>
  <dataValidations disablePrompts="1" count="1">
    <dataValidation allowBlank="1" showInputMessage="1" showErrorMessage="1" errorTitle="error" error="solo datos númericos" sqref="H8:H18 H21" xr:uid="{00000000-0002-0000-0B00-000000000000}"/>
  </dataValidations>
  <printOptions horizontalCentered="1" verticalCentered="1"/>
  <pageMargins left="0" right="0" top="0" bottom="0" header="0.31496062992125984" footer="0.31496062992125984"/>
  <pageSetup paperSize="5" scale="22" orientation="landscape" r:id="rId1"/>
  <rowBreaks count="1" manualBreakCount="1">
    <brk id="26" max="17" man="1"/>
  </rowBreaks>
  <colBreaks count="1" manualBreakCount="1">
    <brk id="18" max="40"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8"/>
  <sheetViews>
    <sheetView view="pageBreakPreview" topLeftCell="G1" zoomScale="40" zoomScaleNormal="50" zoomScaleSheetLayoutView="40" zoomScalePageLayoutView="50" workbookViewId="0">
      <selection activeCell="B2" sqref="B2:J2"/>
    </sheetView>
  </sheetViews>
  <sheetFormatPr baseColWidth="10" defaultColWidth="10.85546875" defaultRowHeight="18.75" x14ac:dyDescent="0.3"/>
  <cols>
    <col min="1" max="1" width="4.28515625" style="133" customWidth="1"/>
    <col min="2" max="2" width="13" style="162" bestFit="1" customWidth="1"/>
    <col min="3" max="3" width="41.42578125" style="133" customWidth="1"/>
    <col min="4" max="4" width="41.7109375" style="133" customWidth="1"/>
    <col min="5" max="5" width="28.85546875" style="133" customWidth="1"/>
    <col min="6" max="6" width="29.7109375" style="133" customWidth="1"/>
    <col min="7" max="7" width="55.5703125" style="133" customWidth="1"/>
    <col min="8" max="8" width="32" style="133" customWidth="1"/>
    <col min="9" max="9" width="36" style="133" customWidth="1"/>
    <col min="10" max="11" width="32.85546875" style="133" customWidth="1"/>
    <col min="12" max="12" width="74.85546875" style="133" customWidth="1"/>
    <col min="13" max="13" width="27.42578125" style="133" customWidth="1"/>
    <col min="14" max="16" width="26.5703125" style="133" customWidth="1"/>
    <col min="17" max="17" width="26.5703125" style="163" customWidth="1"/>
    <col min="18" max="19" width="36.42578125" style="133" customWidth="1"/>
    <col min="20" max="20" width="3.7109375" style="133" customWidth="1"/>
    <col min="21" max="16384" width="10.85546875" style="133"/>
  </cols>
  <sheetData>
    <row r="1" spans="1:22" ht="132" customHeight="1" thickBot="1" x14ac:dyDescent="0.5">
      <c r="A1" s="128"/>
      <c r="B1" s="129"/>
      <c r="C1" s="130"/>
      <c r="D1" s="130"/>
      <c r="E1" s="130"/>
      <c r="F1" s="449"/>
      <c r="G1" s="131"/>
      <c r="H1" s="451"/>
      <c r="I1" s="130"/>
      <c r="J1" s="130"/>
      <c r="K1" s="130"/>
      <c r="L1" s="130"/>
      <c r="M1" s="231">
        <f>+Q1</f>
        <v>0.44262295081967212</v>
      </c>
      <c r="N1" s="232">
        <v>1</v>
      </c>
      <c r="O1" s="233">
        <f>1/183</f>
        <v>5.4644808743169399E-3</v>
      </c>
      <c r="P1" s="234">
        <v>81</v>
      </c>
      <c r="Q1" s="235">
        <f>+O1*81</f>
        <v>0.44262295081967212</v>
      </c>
      <c r="R1" s="236"/>
      <c r="S1" s="237">
        <f>183-P1</f>
        <v>102</v>
      </c>
      <c r="T1" s="239">
        <f>1-Q1</f>
        <v>0.55737704918032782</v>
      </c>
      <c r="U1" s="128"/>
      <c r="V1" s="128"/>
    </row>
    <row r="2" spans="1:22" ht="7.5" hidden="1" customHeight="1" x14ac:dyDescent="0.25">
      <c r="A2" s="128"/>
      <c r="B2" s="129"/>
      <c r="C2" s="130"/>
      <c r="D2" s="130"/>
      <c r="E2" s="130"/>
      <c r="F2" s="450"/>
      <c r="G2" s="134"/>
      <c r="H2" s="451"/>
      <c r="I2" s="130"/>
      <c r="J2" s="130"/>
      <c r="K2" s="130"/>
      <c r="L2" s="130"/>
      <c r="M2" s="130"/>
      <c r="N2" s="130"/>
      <c r="O2" s="130"/>
      <c r="P2" s="130"/>
      <c r="Q2" s="132"/>
      <c r="R2" s="130"/>
      <c r="S2" s="130"/>
      <c r="T2" s="128"/>
      <c r="U2" s="128"/>
      <c r="V2" s="128"/>
    </row>
    <row r="3" spans="1:22" ht="27" hidden="1" thickBot="1" x14ac:dyDescent="0.3">
      <c r="A3" s="128"/>
      <c r="B3" s="129"/>
      <c r="C3" s="130"/>
      <c r="D3" s="130"/>
      <c r="E3" s="130"/>
      <c r="F3" s="130"/>
      <c r="G3" s="130"/>
      <c r="H3" s="130"/>
      <c r="I3" s="130"/>
      <c r="J3" s="130"/>
      <c r="K3" s="130"/>
      <c r="L3" s="130"/>
      <c r="M3" s="130"/>
      <c r="N3" s="130"/>
      <c r="O3" s="130"/>
      <c r="P3" s="130"/>
      <c r="Q3" s="132"/>
      <c r="R3" s="130"/>
      <c r="S3" s="130"/>
      <c r="T3" s="128"/>
      <c r="U3" s="128"/>
      <c r="V3" s="128"/>
    </row>
    <row r="4" spans="1:22" ht="64.5" customHeight="1" thickBot="1" x14ac:dyDescent="0.3">
      <c r="A4" s="128"/>
      <c r="B4" s="452" t="s">
        <v>176</v>
      </c>
      <c r="C4" s="453"/>
      <c r="D4" s="453"/>
      <c r="E4" s="453"/>
      <c r="F4" s="453"/>
      <c r="G4" s="453"/>
      <c r="H4" s="453"/>
      <c r="I4" s="453"/>
      <c r="J4" s="453"/>
      <c r="K4" s="453"/>
      <c r="L4" s="453"/>
      <c r="M4" s="453"/>
      <c r="N4" s="453"/>
      <c r="O4" s="453"/>
      <c r="P4" s="453"/>
      <c r="Q4" s="453"/>
      <c r="R4" s="453"/>
      <c r="S4" s="454"/>
      <c r="T4" s="128"/>
      <c r="U4" s="128"/>
      <c r="V4" s="128"/>
    </row>
    <row r="5" spans="1:22" ht="35.25" customHeight="1" thickBot="1" x14ac:dyDescent="0.3">
      <c r="A5" s="128"/>
      <c r="B5" s="455" t="s">
        <v>177</v>
      </c>
      <c r="C5" s="456"/>
      <c r="D5" s="456"/>
      <c r="E5" s="456"/>
      <c r="F5" s="456"/>
      <c r="G5" s="456"/>
      <c r="H5" s="457"/>
      <c r="I5" s="135"/>
      <c r="J5" s="135"/>
      <c r="K5" s="456"/>
      <c r="L5" s="456"/>
      <c r="M5" s="456"/>
      <c r="N5" s="456"/>
      <c r="O5" s="457"/>
      <c r="P5" s="455" t="s">
        <v>178</v>
      </c>
      <c r="Q5" s="458"/>
      <c r="R5" s="458"/>
      <c r="S5" s="459"/>
      <c r="T5" s="128"/>
      <c r="U5" s="128"/>
      <c r="V5" s="128"/>
    </row>
    <row r="6" spans="1:22" s="136" customFormat="1" ht="56.25" customHeight="1" thickBot="1" x14ac:dyDescent="0.5">
      <c r="A6" s="128"/>
      <c r="B6" s="444" t="s">
        <v>17</v>
      </c>
      <c r="C6" s="445" t="s">
        <v>179</v>
      </c>
      <c r="D6" s="436" t="s">
        <v>180</v>
      </c>
      <c r="E6" s="436" t="s">
        <v>181</v>
      </c>
      <c r="F6" s="436" t="s">
        <v>182</v>
      </c>
      <c r="G6" s="436" t="s">
        <v>61</v>
      </c>
      <c r="H6" s="398" t="s">
        <v>183</v>
      </c>
      <c r="I6" s="399"/>
      <c r="J6" s="433" t="s">
        <v>184</v>
      </c>
      <c r="K6" s="434"/>
      <c r="L6" s="434"/>
      <c r="M6" s="434"/>
      <c r="N6" s="434"/>
      <c r="O6" s="435"/>
      <c r="P6" s="436" t="s">
        <v>185</v>
      </c>
      <c r="Q6" s="437" t="s">
        <v>186</v>
      </c>
      <c r="R6" s="436" t="s">
        <v>79</v>
      </c>
      <c r="S6" s="436"/>
      <c r="T6" s="128"/>
      <c r="U6" s="128"/>
      <c r="V6" s="128"/>
    </row>
    <row r="7" spans="1:22" s="139" customFormat="1" ht="129" customHeight="1" thickBot="1" x14ac:dyDescent="0.5">
      <c r="A7" s="128"/>
      <c r="B7" s="444"/>
      <c r="C7" s="446"/>
      <c r="D7" s="436"/>
      <c r="E7" s="436"/>
      <c r="F7" s="436"/>
      <c r="G7" s="436"/>
      <c r="H7" s="189" t="s">
        <v>187</v>
      </c>
      <c r="I7" s="190" t="s">
        <v>188</v>
      </c>
      <c r="J7" s="137" t="s">
        <v>189</v>
      </c>
      <c r="K7" s="137" t="s">
        <v>190</v>
      </c>
      <c r="L7" s="137" t="s">
        <v>191</v>
      </c>
      <c r="M7" s="191" t="s">
        <v>192</v>
      </c>
      <c r="N7" s="137" t="s">
        <v>193</v>
      </c>
      <c r="O7" s="137" t="s">
        <v>194</v>
      </c>
      <c r="P7" s="436"/>
      <c r="Q7" s="437"/>
      <c r="R7" s="138" t="s">
        <v>195</v>
      </c>
      <c r="S7" s="138" t="s">
        <v>120</v>
      </c>
      <c r="T7" s="128"/>
      <c r="U7" s="128"/>
      <c r="V7" s="128"/>
    </row>
    <row r="8" spans="1:22" s="175" customFormat="1" ht="119.25" customHeight="1" x14ac:dyDescent="0.25">
      <c r="A8" s="174"/>
      <c r="B8" s="438">
        <v>1</v>
      </c>
      <c r="C8" s="432" t="s">
        <v>196</v>
      </c>
      <c r="D8" s="440" t="s">
        <v>197</v>
      </c>
      <c r="E8" s="430">
        <v>1</v>
      </c>
      <c r="F8" s="443" t="s">
        <v>198</v>
      </c>
      <c r="G8" s="176" t="s">
        <v>199</v>
      </c>
      <c r="H8" s="428">
        <v>0.4</v>
      </c>
      <c r="I8" s="195">
        <v>0.51</v>
      </c>
      <c r="J8" s="429">
        <v>0.4</v>
      </c>
      <c r="K8" s="428">
        <f>(AVERAGE(I8:I12)*H8)/H8</f>
        <v>0.45557411193457714</v>
      </c>
      <c r="L8" s="200"/>
      <c r="M8" s="229">
        <v>0.2</v>
      </c>
      <c r="N8" s="430">
        <v>0.6</v>
      </c>
      <c r="O8" s="416">
        <f>IFERROR((AVERAGE(M8:M12)*H8)/H8,0)</f>
        <v>0.18956043956043958</v>
      </c>
      <c r="P8" s="417">
        <f>IF(SUM(K8,O8)&gt;100%,"NO PERMITIDO",SUM(K8,O8))</f>
        <v>0.64513455149501675</v>
      </c>
      <c r="Q8" s="447">
        <f>H8*P8/100%</f>
        <v>0.25805382059800669</v>
      </c>
      <c r="R8" s="200" t="s">
        <v>314</v>
      </c>
      <c r="S8" s="197" t="s">
        <v>324</v>
      </c>
      <c r="T8" s="174"/>
      <c r="U8" s="174"/>
      <c r="V8" s="174"/>
    </row>
    <row r="9" spans="1:22" s="175" customFormat="1" ht="119.25" customHeight="1" x14ac:dyDescent="0.25">
      <c r="A9" s="174"/>
      <c r="B9" s="421"/>
      <c r="C9" s="423"/>
      <c r="D9" s="441"/>
      <c r="E9" s="431"/>
      <c r="F9" s="423"/>
      <c r="G9" s="177" t="s">
        <v>200</v>
      </c>
      <c r="H9" s="423"/>
      <c r="I9" s="195">
        <v>0.35384615384615387</v>
      </c>
      <c r="J9" s="426"/>
      <c r="K9" s="423"/>
      <c r="L9" s="199"/>
      <c r="M9" s="229">
        <v>0.19807692307692307</v>
      </c>
      <c r="N9" s="431"/>
      <c r="O9" s="414"/>
      <c r="P9" s="418"/>
      <c r="Q9" s="448"/>
      <c r="R9" s="199" t="s">
        <v>315</v>
      </c>
      <c r="S9" s="198" t="s">
        <v>325</v>
      </c>
      <c r="T9" s="174"/>
      <c r="U9" s="174"/>
      <c r="V9" s="174"/>
    </row>
    <row r="10" spans="1:22" s="175" customFormat="1" ht="119.25" customHeight="1" x14ac:dyDescent="0.25">
      <c r="A10" s="174"/>
      <c r="B10" s="421"/>
      <c r="C10" s="423"/>
      <c r="D10" s="441"/>
      <c r="E10" s="431"/>
      <c r="F10" s="423"/>
      <c r="G10" s="177" t="s">
        <v>201</v>
      </c>
      <c r="H10" s="423"/>
      <c r="I10" s="196">
        <v>0.35535714285714287</v>
      </c>
      <c r="J10" s="426"/>
      <c r="K10" s="423"/>
      <c r="L10" s="199"/>
      <c r="M10" s="229">
        <v>0.20357142857142857</v>
      </c>
      <c r="N10" s="431"/>
      <c r="O10" s="414"/>
      <c r="P10" s="418"/>
      <c r="Q10" s="448"/>
      <c r="R10" s="199" t="s">
        <v>316</v>
      </c>
      <c r="S10" s="198" t="s">
        <v>326</v>
      </c>
      <c r="T10" s="174"/>
      <c r="U10" s="174"/>
      <c r="V10" s="174"/>
    </row>
    <row r="11" spans="1:22" s="175" customFormat="1" ht="119.25" customHeight="1" x14ac:dyDescent="0.25">
      <c r="A11" s="174"/>
      <c r="B11" s="421"/>
      <c r="C11" s="423"/>
      <c r="D11" s="441"/>
      <c r="E11" s="431"/>
      <c r="F11" s="423"/>
      <c r="G11" s="177" t="s">
        <v>202</v>
      </c>
      <c r="H11" s="423"/>
      <c r="I11" s="196">
        <v>0.42692307692307691</v>
      </c>
      <c r="J11" s="426"/>
      <c r="K11" s="423"/>
      <c r="L11" s="199"/>
      <c r="M11" s="229">
        <v>0.14807692307692308</v>
      </c>
      <c r="N11" s="431"/>
      <c r="O11" s="414"/>
      <c r="P11" s="418"/>
      <c r="Q11" s="448"/>
      <c r="R11" s="199" t="s">
        <v>317</v>
      </c>
      <c r="S11" s="198" t="s">
        <v>327</v>
      </c>
      <c r="T11" s="174"/>
      <c r="U11" s="174"/>
      <c r="V11" s="174"/>
    </row>
    <row r="12" spans="1:22" s="175" customFormat="1" ht="119.25" customHeight="1" thickBot="1" x14ac:dyDescent="0.3">
      <c r="A12" s="174"/>
      <c r="B12" s="439"/>
      <c r="C12" s="424"/>
      <c r="D12" s="442"/>
      <c r="E12" s="416"/>
      <c r="F12" s="423"/>
      <c r="G12" s="177" t="s">
        <v>203</v>
      </c>
      <c r="H12" s="424"/>
      <c r="I12" s="196">
        <v>0.63174418604651161</v>
      </c>
      <c r="J12" s="426"/>
      <c r="K12" s="424"/>
      <c r="L12" s="199"/>
      <c r="M12" s="229">
        <v>0.19807692307692307</v>
      </c>
      <c r="N12" s="416"/>
      <c r="O12" s="414"/>
      <c r="P12" s="418"/>
      <c r="Q12" s="448"/>
      <c r="R12" s="199" t="s">
        <v>318</v>
      </c>
      <c r="S12" s="198" t="s">
        <v>328</v>
      </c>
      <c r="T12" s="174"/>
      <c r="U12" s="174"/>
      <c r="V12" s="174"/>
    </row>
    <row r="13" spans="1:22" ht="252.75" customHeight="1" x14ac:dyDescent="0.25">
      <c r="A13" s="128"/>
      <c r="B13" s="420">
        <v>2</v>
      </c>
      <c r="C13" s="422" t="s">
        <v>196</v>
      </c>
      <c r="D13" s="432" t="s">
        <v>204</v>
      </c>
      <c r="E13" s="412">
        <v>1</v>
      </c>
      <c r="F13" s="425" t="s">
        <v>198</v>
      </c>
      <c r="G13" s="177" t="s">
        <v>205</v>
      </c>
      <c r="H13" s="412">
        <v>0.3</v>
      </c>
      <c r="I13" s="196">
        <v>0.66</v>
      </c>
      <c r="J13" s="427">
        <v>0.4</v>
      </c>
      <c r="K13" s="412">
        <f>(AVERAGE(I13:I15)*H13)/H13</f>
        <v>0.57333333333333336</v>
      </c>
      <c r="L13" s="201"/>
      <c r="M13" s="229">
        <v>0.28999999999999998</v>
      </c>
      <c r="N13" s="412">
        <v>0.6</v>
      </c>
      <c r="O13" s="414">
        <f>IFERROR((AVERAGE(M13:M15)*H13)/H13,0)</f>
        <v>0.3833333333333333</v>
      </c>
      <c r="P13" s="415">
        <f>IF(SUM(K13,O13)&gt;100%,"NO PERMITIDO",SUM(K13,O13))</f>
        <v>0.95666666666666667</v>
      </c>
      <c r="Q13" s="419">
        <f>H13*P13/100%</f>
        <v>0.28699999999999998</v>
      </c>
      <c r="R13" s="201" t="s">
        <v>319</v>
      </c>
      <c r="S13" s="198" t="s">
        <v>329</v>
      </c>
      <c r="T13" s="128"/>
      <c r="U13" s="128"/>
      <c r="V13" s="128"/>
    </row>
    <row r="14" spans="1:22" ht="228" customHeight="1" x14ac:dyDescent="0.25">
      <c r="A14" s="128"/>
      <c r="B14" s="421"/>
      <c r="C14" s="423"/>
      <c r="D14" s="423"/>
      <c r="E14" s="413"/>
      <c r="F14" s="426"/>
      <c r="G14" s="177" t="s">
        <v>206</v>
      </c>
      <c r="H14" s="413"/>
      <c r="I14" s="196">
        <v>0.5</v>
      </c>
      <c r="J14" s="426"/>
      <c r="K14" s="413"/>
      <c r="L14" s="201"/>
      <c r="M14" s="229">
        <v>0.66</v>
      </c>
      <c r="N14" s="413"/>
      <c r="O14" s="414"/>
      <c r="P14" s="415"/>
      <c r="Q14" s="419"/>
      <c r="R14" s="201" t="s">
        <v>320</v>
      </c>
      <c r="S14" s="198" t="s">
        <v>333</v>
      </c>
      <c r="T14" s="128"/>
      <c r="U14" s="128"/>
      <c r="V14" s="128"/>
    </row>
    <row r="15" spans="1:22" ht="228" customHeight="1" x14ac:dyDescent="0.25">
      <c r="A15" s="128"/>
      <c r="B15" s="421"/>
      <c r="C15" s="424"/>
      <c r="D15" s="423"/>
      <c r="E15" s="413"/>
      <c r="F15" s="426"/>
      <c r="G15" s="177" t="s">
        <v>306</v>
      </c>
      <c r="H15" s="413"/>
      <c r="I15" s="196">
        <v>0.56000000000000005</v>
      </c>
      <c r="J15" s="426"/>
      <c r="K15" s="413"/>
      <c r="L15" s="201"/>
      <c r="M15" s="229">
        <v>0.2</v>
      </c>
      <c r="N15" s="413"/>
      <c r="O15" s="414"/>
      <c r="P15" s="415"/>
      <c r="Q15" s="419"/>
      <c r="R15" s="201" t="s">
        <v>321</v>
      </c>
      <c r="S15" s="198" t="s">
        <v>330</v>
      </c>
      <c r="T15" s="128"/>
      <c r="U15" s="128"/>
      <c r="V15" s="128"/>
    </row>
    <row r="16" spans="1:22" ht="159.75" customHeight="1" x14ac:dyDescent="0.25">
      <c r="A16" s="128"/>
      <c r="B16" s="420">
        <v>3</v>
      </c>
      <c r="C16" s="422" t="s">
        <v>196</v>
      </c>
      <c r="D16" s="422" t="s">
        <v>208</v>
      </c>
      <c r="E16" s="412">
        <v>1</v>
      </c>
      <c r="F16" s="425" t="s">
        <v>198</v>
      </c>
      <c r="G16" s="176" t="s">
        <v>209</v>
      </c>
      <c r="H16" s="412">
        <v>0.3</v>
      </c>
      <c r="I16" s="196">
        <v>0.63</v>
      </c>
      <c r="J16" s="427">
        <v>0.4</v>
      </c>
      <c r="K16" s="412">
        <f>(AVERAGE(I16:I18)*H16)/H16</f>
        <v>0.48666666666666664</v>
      </c>
      <c r="L16" s="201"/>
      <c r="M16" s="229">
        <v>0.20692307692307693</v>
      </c>
      <c r="N16" s="412">
        <v>0.6</v>
      </c>
      <c r="O16" s="414">
        <f>IFERROR((AVERAGE(M16:M18)*H16)/H16,0)</f>
        <v>0.42230769230769233</v>
      </c>
      <c r="P16" s="415">
        <f>IF(SUM(K16,O16)&gt;100%,"NO PERMITIDO",SUM(K16,O16))</f>
        <v>0.90897435897435896</v>
      </c>
      <c r="Q16" s="419">
        <f>H16*P16/100%</f>
        <v>0.27269230769230768</v>
      </c>
      <c r="R16" s="201" t="s">
        <v>322</v>
      </c>
      <c r="S16" s="198" t="s">
        <v>331</v>
      </c>
      <c r="T16" s="128"/>
      <c r="U16" s="128"/>
      <c r="V16" s="128"/>
    </row>
    <row r="17" spans="1:22" ht="159.75" customHeight="1" x14ac:dyDescent="0.25">
      <c r="A17" s="128"/>
      <c r="B17" s="421"/>
      <c r="C17" s="423"/>
      <c r="D17" s="423"/>
      <c r="E17" s="413"/>
      <c r="F17" s="426"/>
      <c r="G17" s="177" t="s">
        <v>210</v>
      </c>
      <c r="H17" s="413"/>
      <c r="I17" s="196">
        <v>0.33</v>
      </c>
      <c r="J17" s="426"/>
      <c r="K17" s="413"/>
      <c r="L17" s="201"/>
      <c r="M17" s="229">
        <v>0.4</v>
      </c>
      <c r="N17" s="413"/>
      <c r="O17" s="414"/>
      <c r="P17" s="415"/>
      <c r="Q17" s="419"/>
      <c r="R17" s="201" t="s">
        <v>323</v>
      </c>
      <c r="S17" s="198" t="s">
        <v>332</v>
      </c>
      <c r="T17" s="128"/>
      <c r="U17" s="128"/>
      <c r="V17" s="128"/>
    </row>
    <row r="18" spans="1:22" ht="409.5" customHeight="1" thickBot="1" x14ac:dyDescent="0.3">
      <c r="A18" s="128"/>
      <c r="B18" s="421"/>
      <c r="C18" s="424"/>
      <c r="D18" s="424"/>
      <c r="E18" s="413"/>
      <c r="F18" s="426"/>
      <c r="G18" s="177" t="s">
        <v>211</v>
      </c>
      <c r="H18" s="413"/>
      <c r="I18" s="196">
        <v>0.5</v>
      </c>
      <c r="J18" s="426"/>
      <c r="K18" s="413"/>
      <c r="L18" s="186"/>
      <c r="M18" s="229">
        <v>0.66</v>
      </c>
      <c r="N18" s="413"/>
      <c r="O18" s="414"/>
      <c r="P18" s="415"/>
      <c r="Q18" s="419"/>
      <c r="R18" s="186" t="s">
        <v>334</v>
      </c>
      <c r="S18" s="205" t="s">
        <v>308</v>
      </c>
      <c r="T18" s="128"/>
      <c r="U18" s="128"/>
      <c r="V18" s="128"/>
    </row>
    <row r="19" spans="1:22" ht="27" customHeight="1" thickBot="1" x14ac:dyDescent="0.35">
      <c r="A19" s="128"/>
      <c r="B19" s="406" t="s">
        <v>48</v>
      </c>
      <c r="C19" s="407"/>
      <c r="D19" s="407"/>
      <c r="E19" s="407"/>
      <c r="F19" s="407"/>
      <c r="G19" s="408"/>
      <c r="H19" s="140">
        <f>IF(SUM(H8:H18)&gt;100%,"supera el 100%",SUM(H8:H18))</f>
        <v>1</v>
      </c>
      <c r="I19" s="141"/>
      <c r="J19" s="141"/>
      <c r="K19" s="202">
        <f>AVERAGE(K8:K18)</f>
        <v>0.50519137064485908</v>
      </c>
      <c r="L19" s="141"/>
      <c r="M19" s="141"/>
      <c r="N19" s="142"/>
      <c r="O19" s="143">
        <f>AVERAGE(O8:O18)</f>
        <v>0.33173382173382171</v>
      </c>
      <c r="P19" s="142"/>
      <c r="Q19" s="230">
        <f>SUM(Q8:Q18)</f>
        <v>0.81774612829031434</v>
      </c>
      <c r="R19" s="184"/>
      <c r="S19" s="206"/>
      <c r="T19" s="128"/>
      <c r="U19" s="128"/>
      <c r="V19" s="128"/>
    </row>
    <row r="20" spans="1:22" ht="27" customHeight="1" x14ac:dyDescent="0.3">
      <c r="A20" s="128"/>
      <c r="B20" s="409" t="s">
        <v>212</v>
      </c>
      <c r="C20" s="410"/>
      <c r="D20" s="410"/>
      <c r="E20" s="410"/>
      <c r="F20" s="410"/>
      <c r="G20" s="410"/>
      <c r="H20" s="410"/>
      <c r="I20" s="410"/>
      <c r="J20" s="410"/>
      <c r="K20" s="410"/>
      <c r="L20" s="410"/>
      <c r="M20" s="410"/>
      <c r="N20" s="410"/>
      <c r="O20" s="410"/>
      <c r="P20" s="411"/>
      <c r="Q20" s="183"/>
      <c r="R20" s="184"/>
      <c r="S20" s="207"/>
      <c r="T20" s="128"/>
      <c r="U20" s="128"/>
      <c r="V20" s="128"/>
    </row>
    <row r="21" spans="1:22" ht="305.25" customHeight="1" thickBot="1" x14ac:dyDescent="0.3">
      <c r="A21" s="128"/>
      <c r="B21" s="179">
        <v>1</v>
      </c>
      <c r="C21" s="178" t="s">
        <v>196</v>
      </c>
      <c r="D21" s="178" t="s">
        <v>213</v>
      </c>
      <c r="E21" s="172">
        <v>1</v>
      </c>
      <c r="F21" s="173" t="s">
        <v>214</v>
      </c>
      <c r="G21" s="180" t="s">
        <v>215</v>
      </c>
      <c r="H21" s="172">
        <v>0.05</v>
      </c>
      <c r="I21" s="196">
        <v>0.5</v>
      </c>
      <c r="J21" s="185">
        <v>0.2</v>
      </c>
      <c r="K21" s="203">
        <f>(AVERAGE(I21)*H21)</f>
        <v>2.5000000000000001E-2</v>
      </c>
      <c r="L21" s="172"/>
      <c r="M21" s="229">
        <v>0.63</v>
      </c>
      <c r="N21" s="172">
        <v>0.8</v>
      </c>
      <c r="O21" s="185">
        <f>IFERROR((AVERAGE(M21)*H21),0)</f>
        <v>3.15E-2</v>
      </c>
      <c r="P21" s="187">
        <f>IF(SUM(K21,O21)&gt;100%,"NO PERMITIDO",SUM(K21,O21))</f>
        <v>5.6500000000000002E-2</v>
      </c>
      <c r="Q21" s="194">
        <f>H21*P21/100%</f>
        <v>2.8250000000000003E-3</v>
      </c>
      <c r="R21" s="172" t="s">
        <v>335</v>
      </c>
      <c r="S21" s="208" t="s">
        <v>307</v>
      </c>
      <c r="T21" s="128"/>
      <c r="U21" s="128"/>
      <c r="V21" s="128"/>
    </row>
    <row r="22" spans="1:22" ht="27" thickBot="1" x14ac:dyDescent="0.35">
      <c r="A22" s="128"/>
      <c r="B22" s="406" t="s">
        <v>48</v>
      </c>
      <c r="C22" s="407"/>
      <c r="D22" s="407"/>
      <c r="E22" s="407"/>
      <c r="F22" s="407"/>
      <c r="G22" s="407"/>
      <c r="H22" s="142">
        <f>SUM(H19,H21)</f>
        <v>1.05</v>
      </c>
      <c r="I22" s="141"/>
      <c r="J22" s="192"/>
      <c r="K22" s="204">
        <f>SUM(K19,K21)</f>
        <v>0.53019137064485911</v>
      </c>
      <c r="L22" s="141"/>
      <c r="M22" s="141"/>
      <c r="N22" s="193"/>
      <c r="O22" s="142">
        <f>SUM(O19,O21)</f>
        <v>0.36323382173382168</v>
      </c>
      <c r="P22" s="193"/>
      <c r="Q22" s="142">
        <f>SUM(Q19,Q21)</f>
        <v>0.82057112829031431</v>
      </c>
      <c r="R22" s="184"/>
      <c r="S22" s="184"/>
      <c r="T22" s="128"/>
      <c r="U22" s="128"/>
      <c r="V22" s="128"/>
    </row>
    <row r="23" spans="1:22" ht="29.25" customHeight="1" thickBot="1" x14ac:dyDescent="0.3">
      <c r="A23" s="128"/>
      <c r="B23" s="144"/>
      <c r="C23" s="145"/>
      <c r="D23" s="146"/>
      <c r="E23" s="146"/>
      <c r="F23" s="145"/>
      <c r="G23" s="145"/>
      <c r="H23" s="146"/>
      <c r="I23" s="146"/>
      <c r="J23" s="146"/>
      <c r="K23" s="146"/>
      <c r="L23" s="146"/>
      <c r="M23" s="146"/>
      <c r="N23" s="146"/>
      <c r="O23" s="146"/>
      <c r="P23" s="146"/>
      <c r="Q23" s="147"/>
      <c r="R23" s="146"/>
      <c r="S23" s="148"/>
      <c r="T23" s="128"/>
      <c r="U23" s="128"/>
      <c r="V23" s="128"/>
    </row>
    <row r="24" spans="1:22" ht="48.75" customHeight="1" x14ac:dyDescent="0.4">
      <c r="A24" s="128"/>
      <c r="B24" s="144"/>
      <c r="C24" s="149" t="s">
        <v>216</v>
      </c>
      <c r="D24" s="504">
        <v>44827</v>
      </c>
      <c r="E24" s="504"/>
      <c r="F24" s="146"/>
      <c r="G24" s="505"/>
      <c r="H24" s="506"/>
      <c r="I24" s="506"/>
      <c r="J24" s="507"/>
      <c r="K24" s="150"/>
      <c r="L24" s="508"/>
      <c r="M24" s="509"/>
      <c r="N24" s="509"/>
      <c r="O24" s="509"/>
      <c r="P24" s="510"/>
      <c r="Q24" s="151"/>
      <c r="R24" s="152"/>
      <c r="S24" s="153"/>
      <c r="T24" s="128"/>
      <c r="U24" s="128"/>
      <c r="V24" s="128"/>
    </row>
    <row r="25" spans="1:22" ht="48" customHeight="1" thickBot="1" x14ac:dyDescent="0.4">
      <c r="A25" s="128"/>
      <c r="B25" s="144"/>
      <c r="C25" s="149" t="s">
        <v>217</v>
      </c>
      <c r="D25" s="394" t="s">
        <v>218</v>
      </c>
      <c r="E25" s="394"/>
      <c r="F25" s="146"/>
      <c r="G25" s="395" t="s">
        <v>219</v>
      </c>
      <c r="H25" s="396"/>
      <c r="I25" s="396"/>
      <c r="J25" s="397"/>
      <c r="K25" s="150"/>
      <c r="L25" s="403" t="s">
        <v>220</v>
      </c>
      <c r="M25" s="404"/>
      <c r="N25" s="404"/>
      <c r="O25" s="404"/>
      <c r="P25" s="405"/>
      <c r="Q25" s="154"/>
      <c r="R25" s="155"/>
      <c r="S25" s="156"/>
      <c r="T25" s="128"/>
      <c r="U25" s="128"/>
      <c r="V25" s="128"/>
    </row>
    <row r="26" spans="1:22" ht="27" thickBot="1" x14ac:dyDescent="0.3">
      <c r="A26" s="128"/>
      <c r="B26" s="157"/>
      <c r="C26" s="158"/>
      <c r="D26" s="159"/>
      <c r="E26" s="159"/>
      <c r="F26" s="159"/>
      <c r="G26" s="159"/>
      <c r="H26" s="159"/>
      <c r="I26" s="159"/>
      <c r="J26" s="159"/>
      <c r="K26" s="159"/>
      <c r="L26" s="159"/>
      <c r="M26" s="159"/>
      <c r="N26" s="159"/>
      <c r="O26" s="159"/>
      <c r="P26" s="159"/>
      <c r="Q26" s="160"/>
      <c r="R26" s="159"/>
      <c r="S26" s="161"/>
      <c r="T26" s="128"/>
      <c r="U26" s="128"/>
      <c r="V26" s="128"/>
    </row>
    <row r="27" spans="1:22" ht="26.25" x14ac:dyDescent="0.25">
      <c r="A27" s="128"/>
      <c r="B27" s="128"/>
      <c r="C27" s="128"/>
      <c r="D27" s="128"/>
      <c r="E27" s="128"/>
      <c r="F27" s="128"/>
      <c r="G27" s="128"/>
      <c r="H27" s="128"/>
      <c r="I27" s="128"/>
      <c r="J27" s="128"/>
      <c r="K27" s="128"/>
      <c r="L27" s="128"/>
      <c r="M27" s="128"/>
      <c r="N27" s="128"/>
      <c r="O27" s="128"/>
      <c r="P27" s="128"/>
      <c r="Q27" s="128"/>
      <c r="R27" s="128"/>
      <c r="S27" s="128"/>
      <c r="T27" s="128"/>
      <c r="U27" s="128"/>
      <c r="V27" s="128"/>
    </row>
    <row r="28" spans="1:22" ht="26.25" x14ac:dyDescent="0.25">
      <c r="A28" s="128"/>
      <c r="B28" s="128"/>
      <c r="C28" s="128"/>
      <c r="D28" s="128"/>
      <c r="E28" s="128"/>
      <c r="F28" s="128"/>
      <c r="G28" s="128"/>
      <c r="H28" s="128"/>
      <c r="I28" s="128"/>
      <c r="J28" s="128"/>
      <c r="K28" s="128"/>
      <c r="L28" s="128"/>
      <c r="M28" s="128"/>
      <c r="N28" s="128"/>
      <c r="O28" s="128"/>
      <c r="P28" s="128"/>
      <c r="Q28" s="128"/>
      <c r="R28" s="128"/>
      <c r="S28" s="128"/>
      <c r="T28" s="128"/>
      <c r="U28" s="128"/>
      <c r="V28" s="128"/>
    </row>
  </sheetData>
  <mergeCells count="62">
    <mergeCell ref="P6:P7"/>
    <mergeCell ref="Q6:Q7"/>
    <mergeCell ref="E8:E12"/>
    <mergeCell ref="F8:F12"/>
    <mergeCell ref="G6:G7"/>
    <mergeCell ref="H6:I6"/>
    <mergeCell ref="J6:O6"/>
    <mergeCell ref="P8:P12"/>
    <mergeCell ref="F1:F2"/>
    <mergeCell ref="H1:H2"/>
    <mergeCell ref="B4:S4"/>
    <mergeCell ref="B5:H5"/>
    <mergeCell ref="K5:O5"/>
    <mergeCell ref="P5:S5"/>
    <mergeCell ref="B6:B7"/>
    <mergeCell ref="C6:C7"/>
    <mergeCell ref="D6:D7"/>
    <mergeCell ref="E6:E7"/>
    <mergeCell ref="F6:F7"/>
    <mergeCell ref="R6:S6"/>
    <mergeCell ref="Q8:Q12"/>
    <mergeCell ref="B13:B15"/>
    <mergeCell ref="C13:C15"/>
    <mergeCell ref="D13:D15"/>
    <mergeCell ref="E13:E15"/>
    <mergeCell ref="F13:F15"/>
    <mergeCell ref="H13:H15"/>
    <mergeCell ref="J13:J15"/>
    <mergeCell ref="K13:K15"/>
    <mergeCell ref="N13:N15"/>
    <mergeCell ref="H8:H12"/>
    <mergeCell ref="J8:J12"/>
    <mergeCell ref="K8:K12"/>
    <mergeCell ref="N8:N12"/>
    <mergeCell ref="O8:O12"/>
    <mergeCell ref="Q16:Q18"/>
    <mergeCell ref="B19:G19"/>
    <mergeCell ref="O13:O15"/>
    <mergeCell ref="P13:P15"/>
    <mergeCell ref="Q13:Q15"/>
    <mergeCell ref="B16:B18"/>
    <mergeCell ref="C16:C18"/>
    <mergeCell ref="D16:D18"/>
    <mergeCell ref="E16:E18"/>
    <mergeCell ref="F16:F18"/>
    <mergeCell ref="H16:H18"/>
    <mergeCell ref="J16:J18"/>
    <mergeCell ref="B8:B12"/>
    <mergeCell ref="C8:C12"/>
    <mergeCell ref="D8:D12"/>
    <mergeCell ref="D25:E25"/>
    <mergeCell ref="G25:J25"/>
    <mergeCell ref="L25:P25"/>
    <mergeCell ref="K16:K18"/>
    <mergeCell ref="N16:N18"/>
    <mergeCell ref="O16:O18"/>
    <mergeCell ref="P16:P18"/>
    <mergeCell ref="B20:P20"/>
    <mergeCell ref="B22:G22"/>
    <mergeCell ref="D24:E24"/>
    <mergeCell ref="G24:J24"/>
    <mergeCell ref="L24:P24"/>
  </mergeCells>
  <conditionalFormatting sqref="P8 P13 P16">
    <cfRule type="cellIs" dxfId="1" priority="2" operator="greaterThan">
      <formula>100</formula>
    </cfRule>
  </conditionalFormatting>
  <conditionalFormatting sqref="P21">
    <cfRule type="cellIs" dxfId="0" priority="1" operator="greaterThan">
      <formula>100</formula>
    </cfRule>
  </conditionalFormatting>
  <dataValidations count="1">
    <dataValidation allowBlank="1" showInputMessage="1" showErrorMessage="1" errorTitle="error" error="solo datos númericos" sqref="H8:H18 H21" xr:uid="{00000000-0002-0000-0C00-000000000000}"/>
  </dataValidations>
  <printOptions horizontalCentered="1" verticalCentered="1"/>
  <pageMargins left="0" right="0" top="0" bottom="0" header="0.31496062992125984" footer="0.31496062992125984"/>
  <pageSetup paperSize="5" scale="20" orientation="landscape" r:id="rId1"/>
  <rowBreaks count="1" manualBreakCount="1">
    <brk id="26" max="17" man="1"/>
  </rowBreaks>
  <colBreaks count="1" manualBreakCount="1">
    <brk id="19" max="40"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1:M248"/>
  <sheetViews>
    <sheetView tabSelected="1" view="pageBreakPreview" topLeftCell="B44" zoomScale="121" zoomScaleNormal="121" zoomScaleSheetLayoutView="121" zoomScalePageLayoutView="121" workbookViewId="0">
      <selection activeCell="J64" sqref="J64"/>
    </sheetView>
  </sheetViews>
  <sheetFormatPr baseColWidth="10" defaultColWidth="10.85546875" defaultRowHeight="15" x14ac:dyDescent="0.25"/>
  <cols>
    <col min="1" max="1" width="2.42578125" style="59"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9" customWidth="1"/>
    <col min="12" max="12" width="16.42578125" style="59" customWidth="1"/>
    <col min="13" max="16384" width="10.85546875" style="1"/>
  </cols>
  <sheetData>
    <row r="1" spans="1:12" ht="72" customHeight="1" thickBot="1" x14ac:dyDescent="0.3">
      <c r="B1" s="59"/>
      <c r="C1" s="59"/>
      <c r="D1" s="59"/>
      <c r="E1" s="59"/>
      <c r="F1" s="59"/>
      <c r="G1" s="59"/>
      <c r="H1" s="59"/>
      <c r="I1" s="59"/>
      <c r="J1" s="59"/>
      <c r="L1"/>
    </row>
    <row r="2" spans="1:12" ht="35.1" customHeight="1" thickBot="1" x14ac:dyDescent="0.3">
      <c r="A2" s="76"/>
      <c r="B2" s="512" t="s">
        <v>222</v>
      </c>
      <c r="C2" s="513"/>
      <c r="D2" s="513"/>
      <c r="E2" s="513"/>
      <c r="F2" s="513"/>
      <c r="G2" s="513"/>
      <c r="H2" s="513"/>
      <c r="I2" s="513"/>
      <c r="J2" s="514"/>
      <c r="K2" s="76"/>
      <c r="L2"/>
    </row>
    <row r="3" spans="1:12" ht="5.0999999999999996" customHeight="1" thickBot="1" x14ac:dyDescent="0.3">
      <c r="A3" s="76"/>
      <c r="B3" s="77"/>
      <c r="C3" s="77"/>
      <c r="D3" s="78"/>
      <c r="E3" s="77"/>
      <c r="F3" s="77"/>
      <c r="G3" s="77"/>
      <c r="H3" s="77"/>
      <c r="I3" s="77"/>
      <c r="J3" s="77"/>
      <c r="K3" s="76"/>
      <c r="L3"/>
    </row>
    <row r="4" spans="1:12" ht="21.95" customHeight="1" thickBot="1" x14ac:dyDescent="0.3">
      <c r="A4" s="76"/>
      <c r="B4" s="515" t="s">
        <v>223</v>
      </c>
      <c r="C4" s="516"/>
      <c r="D4" s="516"/>
      <c r="E4" s="516"/>
      <c r="F4" s="516"/>
      <c r="G4" s="516"/>
      <c r="H4" s="516"/>
      <c r="I4" s="516"/>
      <c r="J4" s="517"/>
      <c r="K4" s="76"/>
      <c r="L4"/>
    </row>
    <row r="5" spans="1:12" s="53" customFormat="1" ht="16.5" x14ac:dyDescent="0.3">
      <c r="A5" s="76"/>
      <c r="B5" s="79"/>
      <c r="C5" s="518" t="s">
        <v>224</v>
      </c>
      <c r="D5" s="518"/>
      <c r="E5" s="518"/>
      <c r="F5" s="518"/>
      <c r="G5" s="518"/>
      <c r="H5" s="518"/>
      <c r="I5" s="518"/>
      <c r="J5" s="80">
        <v>5</v>
      </c>
      <c r="K5" s="76"/>
      <c r="L5"/>
    </row>
    <row r="6" spans="1:12" s="53" customFormat="1" ht="16.5" x14ac:dyDescent="0.3">
      <c r="A6" s="76"/>
      <c r="B6" s="81"/>
      <c r="C6" s="511" t="s">
        <v>225</v>
      </c>
      <c r="D6" s="511"/>
      <c r="E6" s="511"/>
      <c r="F6" s="511"/>
      <c r="G6" s="511"/>
      <c r="H6" s="511"/>
      <c r="I6" s="511"/>
      <c r="J6" s="82">
        <v>4</v>
      </c>
      <c r="K6" s="76"/>
      <c r="L6"/>
    </row>
    <row r="7" spans="1:12" s="53" customFormat="1" ht="16.5" x14ac:dyDescent="0.3">
      <c r="A7" s="76"/>
      <c r="B7" s="81"/>
      <c r="C7" s="511" t="s">
        <v>87</v>
      </c>
      <c r="D7" s="511"/>
      <c r="E7" s="511"/>
      <c r="F7" s="511"/>
      <c r="G7" s="511"/>
      <c r="H7" s="511"/>
      <c r="I7" s="511"/>
      <c r="J7" s="82">
        <v>3</v>
      </c>
      <c r="K7" s="76"/>
      <c r="L7"/>
    </row>
    <row r="8" spans="1:12" s="53" customFormat="1" ht="16.5" x14ac:dyDescent="0.3">
      <c r="A8" s="76"/>
      <c r="B8" s="81"/>
      <c r="C8" s="511" t="s">
        <v>88</v>
      </c>
      <c r="D8" s="511"/>
      <c r="E8" s="511"/>
      <c r="F8" s="511"/>
      <c r="G8" s="511"/>
      <c r="H8" s="511"/>
      <c r="I8" s="511"/>
      <c r="J8" s="82">
        <v>2</v>
      </c>
      <c r="K8" s="76"/>
      <c r="L8"/>
    </row>
    <row r="9" spans="1:12" s="53" customFormat="1" ht="17.25" thickBot="1" x14ac:dyDescent="0.35">
      <c r="A9" s="76"/>
      <c r="B9" s="83"/>
      <c r="C9" s="519" t="s">
        <v>226</v>
      </c>
      <c r="D9" s="520"/>
      <c r="E9" s="520"/>
      <c r="F9" s="520"/>
      <c r="G9" s="520"/>
      <c r="H9" s="520"/>
      <c r="I9" s="520"/>
      <c r="J9" s="84">
        <v>1</v>
      </c>
      <c r="K9" s="76"/>
      <c r="L9"/>
    </row>
    <row r="10" spans="1:12" s="53" customFormat="1" ht="22.5" customHeight="1" thickBot="1" x14ac:dyDescent="0.35">
      <c r="A10" s="76"/>
      <c r="B10" s="76"/>
      <c r="C10" s="85"/>
      <c r="D10" s="85"/>
      <c r="E10" s="85"/>
      <c r="F10" s="85"/>
      <c r="G10" s="85"/>
      <c r="H10" s="85"/>
      <c r="I10" s="85"/>
      <c r="J10" s="86"/>
      <c r="K10" s="76"/>
      <c r="L10"/>
    </row>
    <row r="11" spans="1:12" ht="33" customHeight="1" x14ac:dyDescent="0.25">
      <c r="A11" s="76"/>
      <c r="B11" s="521" t="s">
        <v>227</v>
      </c>
      <c r="C11" s="522"/>
      <c r="D11" s="522" t="s">
        <v>228</v>
      </c>
      <c r="E11" s="522" t="s">
        <v>229</v>
      </c>
      <c r="F11" s="522"/>
      <c r="G11" s="522"/>
      <c r="H11" s="527" t="s">
        <v>230</v>
      </c>
      <c r="I11" s="530" t="s">
        <v>231</v>
      </c>
      <c r="J11" s="532" t="s">
        <v>232</v>
      </c>
      <c r="K11" s="60"/>
      <c r="L11"/>
    </row>
    <row r="12" spans="1:12" ht="27.75" customHeight="1" x14ac:dyDescent="0.25">
      <c r="A12" s="76"/>
      <c r="B12" s="523"/>
      <c r="C12" s="524"/>
      <c r="D12" s="524"/>
      <c r="E12" s="98" t="s">
        <v>233</v>
      </c>
      <c r="F12" s="98" t="s">
        <v>234</v>
      </c>
      <c r="G12" s="98" t="s">
        <v>235</v>
      </c>
      <c r="H12" s="528"/>
      <c r="I12" s="531"/>
      <c r="J12" s="533"/>
      <c r="K12" s="60"/>
      <c r="L12"/>
    </row>
    <row r="13" spans="1:12" ht="15.75" customHeight="1" x14ac:dyDescent="0.25">
      <c r="A13" s="76"/>
      <c r="B13" s="525"/>
      <c r="C13" s="526"/>
      <c r="D13" s="526"/>
      <c r="E13" s="54">
        <v>0.6</v>
      </c>
      <c r="F13" s="54">
        <v>0.2</v>
      </c>
      <c r="G13" s="54">
        <v>0.2</v>
      </c>
      <c r="H13" s="529"/>
      <c r="I13" s="531"/>
      <c r="J13" s="534"/>
      <c r="K13" s="60"/>
      <c r="L13"/>
    </row>
    <row r="14" spans="1:12" ht="29.25" customHeight="1" x14ac:dyDescent="0.25">
      <c r="A14" s="76"/>
      <c r="B14" s="535">
        <v>1</v>
      </c>
      <c r="C14" s="535" t="s">
        <v>236</v>
      </c>
      <c r="D14" s="103" t="s">
        <v>237</v>
      </c>
      <c r="E14" s="88"/>
      <c r="F14" s="88"/>
      <c r="G14" s="88"/>
      <c r="H14" s="536"/>
      <c r="I14" s="536">
        <f>SUM(E21:G21)</f>
        <v>0</v>
      </c>
      <c r="J14" s="537"/>
      <c r="K14" s="60"/>
      <c r="L14"/>
    </row>
    <row r="15" spans="1:12" ht="67.5" x14ac:dyDescent="0.25">
      <c r="A15" s="76"/>
      <c r="B15" s="535"/>
      <c r="C15" s="535"/>
      <c r="D15" s="103" t="s">
        <v>238</v>
      </c>
      <c r="E15" s="88"/>
      <c r="F15" s="88"/>
      <c r="G15" s="88"/>
      <c r="H15" s="536"/>
      <c r="I15" s="536"/>
      <c r="J15" s="537"/>
      <c r="K15" s="60"/>
      <c r="L15"/>
    </row>
    <row r="16" spans="1:12" ht="33.75" x14ac:dyDescent="0.25">
      <c r="A16" s="76"/>
      <c r="B16" s="535"/>
      <c r="C16" s="535"/>
      <c r="D16" s="103" t="s">
        <v>239</v>
      </c>
      <c r="E16" s="88"/>
      <c r="F16" s="88"/>
      <c r="G16" s="88"/>
      <c r="H16" s="536"/>
      <c r="I16" s="536"/>
      <c r="J16" s="537"/>
      <c r="K16" s="60"/>
      <c r="L16"/>
    </row>
    <row r="17" spans="1:12" ht="33.75" x14ac:dyDescent="0.25">
      <c r="A17" s="76"/>
      <c r="B17" s="535"/>
      <c r="C17" s="535"/>
      <c r="D17" s="103" t="s">
        <v>240</v>
      </c>
      <c r="E17" s="88"/>
      <c r="F17" s="88"/>
      <c r="G17" s="88"/>
      <c r="H17" s="536"/>
      <c r="I17" s="536"/>
      <c r="J17" s="537"/>
      <c r="K17" s="60"/>
      <c r="L17"/>
    </row>
    <row r="18" spans="1:12" ht="45" x14ac:dyDescent="0.25">
      <c r="A18" s="76"/>
      <c r="B18" s="535"/>
      <c r="C18" s="535"/>
      <c r="D18" s="103" t="s">
        <v>241</v>
      </c>
      <c r="E18" s="88"/>
      <c r="F18" s="88"/>
      <c r="G18" s="88"/>
      <c r="H18" s="536"/>
      <c r="I18" s="536"/>
      <c r="J18" s="537"/>
      <c r="K18" s="60"/>
      <c r="L18"/>
    </row>
    <row r="19" spans="1:12" ht="45" x14ac:dyDescent="0.25">
      <c r="A19" s="76"/>
      <c r="B19" s="535"/>
      <c r="C19" s="535"/>
      <c r="D19" s="103" t="s">
        <v>242</v>
      </c>
      <c r="E19" s="88"/>
      <c r="F19" s="88"/>
      <c r="G19" s="88"/>
      <c r="H19" s="536"/>
      <c r="I19" s="536"/>
      <c r="J19" s="537"/>
      <c r="K19" s="60"/>
      <c r="L19"/>
    </row>
    <row r="20" spans="1:12" ht="33.75" x14ac:dyDescent="0.25">
      <c r="A20" s="76"/>
      <c r="B20" s="535"/>
      <c r="C20" s="535"/>
      <c r="D20" s="103" t="s">
        <v>243</v>
      </c>
      <c r="E20" s="88"/>
      <c r="F20" s="88"/>
      <c r="G20" s="88"/>
      <c r="H20" s="536"/>
      <c r="I20" s="536"/>
      <c r="J20" s="537"/>
      <c r="K20" s="60"/>
      <c r="L20"/>
    </row>
    <row r="21" spans="1:12" ht="24.75" customHeight="1" x14ac:dyDescent="0.25">
      <c r="A21" s="76"/>
      <c r="B21" s="538" t="s">
        <v>244</v>
      </c>
      <c r="C21" s="538"/>
      <c r="D21" s="538"/>
      <c r="E21" s="51">
        <f>SUM(E14:E20)/7*60%</f>
        <v>0</v>
      </c>
      <c r="F21" s="56">
        <f>SUM(F14:F20)/7*20%</f>
        <v>0</v>
      </c>
      <c r="G21" s="56">
        <f>SUM(G14:G20)/7*20%</f>
        <v>0</v>
      </c>
      <c r="H21" s="536"/>
      <c r="I21" s="536"/>
      <c r="J21" s="537"/>
      <c r="K21" s="60"/>
      <c r="L21"/>
    </row>
    <row r="22" spans="1:12" ht="45" x14ac:dyDescent="0.25">
      <c r="A22" s="76"/>
      <c r="B22" s="535">
        <v>2</v>
      </c>
      <c r="C22" s="535" t="s">
        <v>245</v>
      </c>
      <c r="D22" s="103" t="s">
        <v>246</v>
      </c>
      <c r="E22" s="88"/>
      <c r="F22" s="88"/>
      <c r="G22" s="88"/>
      <c r="H22" s="536"/>
      <c r="I22" s="536">
        <f>SUM(E27:G27)</f>
        <v>0</v>
      </c>
      <c r="J22" s="539"/>
      <c r="K22" s="60"/>
      <c r="L22"/>
    </row>
    <row r="23" spans="1:12" ht="45" x14ac:dyDescent="0.25">
      <c r="A23" s="76"/>
      <c r="B23" s="535"/>
      <c r="C23" s="535"/>
      <c r="D23" s="103" t="s">
        <v>247</v>
      </c>
      <c r="E23" s="88"/>
      <c r="F23" s="88"/>
      <c r="G23" s="88"/>
      <c r="H23" s="536"/>
      <c r="I23" s="536"/>
      <c r="J23" s="539"/>
      <c r="K23" s="60"/>
      <c r="L23"/>
    </row>
    <row r="24" spans="1:12" ht="56.25" x14ac:dyDescent="0.25">
      <c r="A24" s="76"/>
      <c r="B24" s="535"/>
      <c r="C24" s="535"/>
      <c r="D24" s="103" t="s">
        <v>248</v>
      </c>
      <c r="E24" s="88"/>
      <c r="F24" s="88"/>
      <c r="G24" s="88"/>
      <c r="H24" s="536"/>
      <c r="I24" s="536"/>
      <c r="J24" s="539"/>
      <c r="K24" s="60"/>
      <c r="L24"/>
    </row>
    <row r="25" spans="1:12" ht="33.75" x14ac:dyDescent="0.25">
      <c r="A25" s="76"/>
      <c r="B25" s="535"/>
      <c r="C25" s="535"/>
      <c r="D25" s="103" t="s">
        <v>249</v>
      </c>
      <c r="E25" s="88"/>
      <c r="F25" s="88"/>
      <c r="G25" s="88"/>
      <c r="H25" s="536"/>
      <c r="I25" s="536"/>
      <c r="J25" s="539"/>
      <c r="K25" s="60"/>
      <c r="L25"/>
    </row>
    <row r="26" spans="1:12" ht="22.5" x14ac:dyDescent="0.25">
      <c r="A26" s="76"/>
      <c r="B26" s="535"/>
      <c r="C26" s="535"/>
      <c r="D26" s="103" t="s">
        <v>250</v>
      </c>
      <c r="E26" s="88"/>
      <c r="F26" s="88"/>
      <c r="G26" s="88"/>
      <c r="H26" s="536"/>
      <c r="I26" s="536"/>
      <c r="J26" s="539"/>
      <c r="K26" s="60"/>
      <c r="L26"/>
    </row>
    <row r="27" spans="1:12" ht="24.75" customHeight="1" x14ac:dyDescent="0.25">
      <c r="A27" s="76"/>
      <c r="B27" s="538" t="s">
        <v>251</v>
      </c>
      <c r="C27" s="538"/>
      <c r="D27" s="538"/>
      <c r="E27" s="56">
        <f>SUM(E22:E26)/5*60%</f>
        <v>0</v>
      </c>
      <c r="F27" s="56">
        <f>SUM(F22:F26)/5*20%</f>
        <v>0</v>
      </c>
      <c r="G27" s="56">
        <f>SUM(G22:G26)/5*20%</f>
        <v>0</v>
      </c>
      <c r="H27" s="536"/>
      <c r="I27" s="536"/>
      <c r="J27" s="539"/>
      <c r="K27" s="60"/>
      <c r="L27"/>
    </row>
    <row r="28" spans="1:12" x14ac:dyDescent="0.25">
      <c r="A28" s="76"/>
      <c r="B28" s="535">
        <v>3</v>
      </c>
      <c r="C28" s="535" t="s">
        <v>252</v>
      </c>
      <c r="D28" s="103" t="s">
        <v>253</v>
      </c>
      <c r="E28" s="88"/>
      <c r="F28" s="88"/>
      <c r="G28" s="88"/>
      <c r="H28" s="540"/>
      <c r="I28" s="536">
        <f>SUM(E34:G34)</f>
        <v>0</v>
      </c>
      <c r="J28" s="539"/>
      <c r="K28" s="60"/>
      <c r="L28"/>
    </row>
    <row r="29" spans="1:12" ht="56.25" x14ac:dyDescent="0.25">
      <c r="A29" s="76"/>
      <c r="B29" s="535"/>
      <c r="C29" s="535"/>
      <c r="D29" s="103" t="s">
        <v>254</v>
      </c>
      <c r="E29" s="88"/>
      <c r="F29" s="88"/>
      <c r="G29" s="88"/>
      <c r="H29" s="540"/>
      <c r="I29" s="536"/>
      <c r="J29" s="539"/>
      <c r="K29" s="60"/>
      <c r="L29"/>
    </row>
    <row r="30" spans="1:12" ht="45" x14ac:dyDescent="0.25">
      <c r="A30" s="76"/>
      <c r="B30" s="535"/>
      <c r="C30" s="535"/>
      <c r="D30" s="103" t="s">
        <v>255</v>
      </c>
      <c r="E30" s="88"/>
      <c r="F30" s="88"/>
      <c r="G30" s="88"/>
      <c r="H30" s="540"/>
      <c r="I30" s="536"/>
      <c r="J30" s="539"/>
      <c r="K30" s="60"/>
      <c r="L30"/>
    </row>
    <row r="31" spans="1:12" ht="33.75" x14ac:dyDescent="0.25">
      <c r="A31" s="76"/>
      <c r="B31" s="535"/>
      <c r="C31" s="535"/>
      <c r="D31" s="103" t="s">
        <v>256</v>
      </c>
      <c r="E31" s="88"/>
      <c r="F31" s="88"/>
      <c r="G31" s="88"/>
      <c r="H31" s="540"/>
      <c r="I31" s="536"/>
      <c r="J31" s="539"/>
      <c r="K31" s="60"/>
      <c r="L31"/>
    </row>
    <row r="32" spans="1:12" ht="27" customHeight="1" x14ac:dyDescent="0.25">
      <c r="A32" s="76"/>
      <c r="B32" s="535"/>
      <c r="C32" s="535"/>
      <c r="D32" s="103" t="s">
        <v>257</v>
      </c>
      <c r="E32" s="88"/>
      <c r="F32" s="88"/>
      <c r="G32" s="88"/>
      <c r="H32" s="540"/>
      <c r="I32" s="536"/>
      <c r="J32" s="539"/>
      <c r="K32" s="60"/>
      <c r="L32"/>
    </row>
    <row r="33" spans="1:12" ht="22.5" x14ac:dyDescent="0.25">
      <c r="A33" s="76"/>
      <c r="B33" s="535"/>
      <c r="C33" s="535"/>
      <c r="D33" s="103" t="s">
        <v>258</v>
      </c>
      <c r="E33" s="88"/>
      <c r="F33" s="88"/>
      <c r="G33" s="88"/>
      <c r="H33" s="540"/>
      <c r="I33" s="536"/>
      <c r="J33" s="539"/>
      <c r="K33" s="60"/>
      <c r="L33"/>
    </row>
    <row r="34" spans="1:12" ht="24.75" customHeight="1" x14ac:dyDescent="0.25">
      <c r="A34" s="76"/>
      <c r="B34" s="538" t="s">
        <v>251</v>
      </c>
      <c r="C34" s="538"/>
      <c r="D34" s="538"/>
      <c r="E34" s="56">
        <f>SUM(E28:E33)/6*60%</f>
        <v>0</v>
      </c>
      <c r="F34" s="56">
        <f>SUM(F28:F33)/6*20%</f>
        <v>0</v>
      </c>
      <c r="G34" s="56">
        <f>SUM(G28:G33)/6*20%</f>
        <v>0</v>
      </c>
      <c r="H34" s="540"/>
      <c r="I34" s="536"/>
      <c r="J34" s="539"/>
      <c r="K34" s="60"/>
      <c r="L34"/>
    </row>
    <row r="35" spans="1:12" ht="45" x14ac:dyDescent="0.25">
      <c r="A35" s="76"/>
      <c r="B35" s="535">
        <v>4</v>
      </c>
      <c r="C35" s="535" t="s">
        <v>259</v>
      </c>
      <c r="D35" s="103" t="s">
        <v>260</v>
      </c>
      <c r="E35" s="88"/>
      <c r="F35" s="88"/>
      <c r="G35" s="88"/>
      <c r="H35" s="541"/>
      <c r="I35" s="544">
        <f>SUM(E41:G41)</f>
        <v>0</v>
      </c>
      <c r="J35" s="547"/>
      <c r="K35" s="60"/>
      <c r="L35"/>
    </row>
    <row r="36" spans="1:12" ht="45" x14ac:dyDescent="0.25">
      <c r="A36" s="76"/>
      <c r="B36" s="535"/>
      <c r="C36" s="535"/>
      <c r="D36" s="103" t="s">
        <v>261</v>
      </c>
      <c r="E36" s="88"/>
      <c r="F36" s="88"/>
      <c r="G36" s="88"/>
      <c r="H36" s="542"/>
      <c r="I36" s="545"/>
      <c r="J36" s="547"/>
      <c r="K36" s="60"/>
      <c r="L36"/>
    </row>
    <row r="37" spans="1:12" ht="33.75" x14ac:dyDescent="0.25">
      <c r="A37" s="76"/>
      <c r="B37" s="535"/>
      <c r="C37" s="535"/>
      <c r="D37" s="103" t="s">
        <v>262</v>
      </c>
      <c r="E37" s="88"/>
      <c r="F37" s="88"/>
      <c r="G37" s="88"/>
      <c r="H37" s="542"/>
      <c r="I37" s="545"/>
      <c r="J37" s="547"/>
      <c r="K37" s="60"/>
      <c r="L37"/>
    </row>
    <row r="38" spans="1:12" ht="45" x14ac:dyDescent="0.25">
      <c r="A38" s="76"/>
      <c r="B38" s="535"/>
      <c r="C38" s="535"/>
      <c r="D38" s="103" t="s">
        <v>263</v>
      </c>
      <c r="E38" s="88"/>
      <c r="F38" s="88"/>
      <c r="G38" s="88"/>
      <c r="H38" s="542"/>
      <c r="I38" s="545"/>
      <c r="J38" s="547"/>
      <c r="K38" s="60"/>
      <c r="L38"/>
    </row>
    <row r="39" spans="1:12" ht="29.25" customHeight="1" x14ac:dyDescent="0.25">
      <c r="A39" s="76"/>
      <c r="B39" s="535"/>
      <c r="C39" s="535"/>
      <c r="D39" s="103" t="s">
        <v>264</v>
      </c>
      <c r="E39" s="88"/>
      <c r="F39" s="88"/>
      <c r="G39" s="88"/>
      <c r="H39" s="542"/>
      <c r="I39" s="545"/>
      <c r="J39" s="547"/>
      <c r="K39" s="60"/>
      <c r="L39"/>
    </row>
    <row r="40" spans="1:12" ht="18.75" customHeight="1" x14ac:dyDescent="0.25">
      <c r="A40" s="76"/>
      <c r="B40" s="535"/>
      <c r="C40" s="535"/>
      <c r="D40" s="103" t="s">
        <v>265</v>
      </c>
      <c r="E40" s="88"/>
      <c r="F40" s="88"/>
      <c r="G40" s="88"/>
      <c r="H40" s="542"/>
      <c r="I40" s="545"/>
      <c r="J40" s="547"/>
      <c r="K40" s="60"/>
      <c r="L40"/>
    </row>
    <row r="41" spans="1:12" ht="24.75" customHeight="1" x14ac:dyDescent="0.25">
      <c r="A41" s="76"/>
      <c r="B41" s="538" t="s">
        <v>251</v>
      </c>
      <c r="C41" s="538"/>
      <c r="D41" s="538"/>
      <c r="E41" s="56">
        <f>SUM(E35:E40)/6*60%</f>
        <v>0</v>
      </c>
      <c r="F41" s="56">
        <f>SUM(F35:F40)/6*20%</f>
        <v>0</v>
      </c>
      <c r="G41" s="56">
        <f>SUM(G35:G40)/6*20%</f>
        <v>0</v>
      </c>
      <c r="H41" s="543"/>
      <c r="I41" s="546"/>
      <c r="J41" s="547"/>
      <c r="K41" s="60"/>
      <c r="L41"/>
    </row>
    <row r="42" spans="1:12" ht="45" x14ac:dyDescent="0.25">
      <c r="A42" s="76"/>
      <c r="B42" s="535">
        <v>5</v>
      </c>
      <c r="C42" s="535" t="s">
        <v>266</v>
      </c>
      <c r="D42" s="103" t="s">
        <v>267</v>
      </c>
      <c r="E42" s="88"/>
      <c r="F42" s="88"/>
      <c r="G42" s="88"/>
      <c r="H42" s="536"/>
      <c r="I42" s="536">
        <f>SUM(E48:G48)</f>
        <v>0</v>
      </c>
      <c r="J42" s="537"/>
      <c r="K42" s="60"/>
      <c r="L42"/>
    </row>
    <row r="43" spans="1:12" ht="45" x14ac:dyDescent="0.25">
      <c r="A43" s="76"/>
      <c r="B43" s="535"/>
      <c r="C43" s="535"/>
      <c r="D43" s="103" t="s">
        <v>268</v>
      </c>
      <c r="E43" s="88"/>
      <c r="F43" s="88"/>
      <c r="G43" s="88"/>
      <c r="H43" s="536"/>
      <c r="I43" s="536"/>
      <c r="J43" s="537"/>
      <c r="K43" s="60"/>
      <c r="L43"/>
    </row>
    <row r="44" spans="1:12" ht="45" x14ac:dyDescent="0.25">
      <c r="A44" s="76"/>
      <c r="B44" s="535"/>
      <c r="C44" s="535"/>
      <c r="D44" s="103" t="s">
        <v>269</v>
      </c>
      <c r="E44" s="88"/>
      <c r="F44" s="88"/>
      <c r="G44" s="88"/>
      <c r="H44" s="536"/>
      <c r="I44" s="536"/>
      <c r="J44" s="537"/>
      <c r="K44" s="60"/>
      <c r="L44"/>
    </row>
    <row r="45" spans="1:12" ht="22.5" x14ac:dyDescent="0.25">
      <c r="A45" s="76"/>
      <c r="B45" s="535"/>
      <c r="C45" s="535"/>
      <c r="D45" s="103" t="s">
        <v>270</v>
      </c>
      <c r="E45" s="88"/>
      <c r="F45" s="88"/>
      <c r="G45" s="88"/>
      <c r="H45" s="536"/>
      <c r="I45" s="536"/>
      <c r="J45" s="537"/>
      <c r="K45" s="60"/>
      <c r="L45"/>
    </row>
    <row r="46" spans="1:12" ht="45" x14ac:dyDescent="0.25">
      <c r="A46" s="76"/>
      <c r="B46" s="535"/>
      <c r="C46" s="535"/>
      <c r="D46" s="103" t="s">
        <v>271</v>
      </c>
      <c r="E46" s="88"/>
      <c r="F46" s="88"/>
      <c r="G46" s="88"/>
      <c r="H46" s="536"/>
      <c r="I46" s="536"/>
      <c r="J46" s="537"/>
      <c r="K46" s="60"/>
      <c r="L46"/>
    </row>
    <row r="47" spans="1:12" ht="26.25" customHeight="1" x14ac:dyDescent="0.25">
      <c r="A47" s="76"/>
      <c r="B47" s="535"/>
      <c r="C47" s="535"/>
      <c r="D47" s="103" t="s">
        <v>272</v>
      </c>
      <c r="E47" s="88"/>
      <c r="F47" s="88"/>
      <c r="G47" s="88"/>
      <c r="H47" s="536"/>
      <c r="I47" s="536"/>
      <c r="J47" s="537"/>
      <c r="K47" s="60"/>
      <c r="L47"/>
    </row>
    <row r="48" spans="1:12" ht="24.75" customHeight="1" x14ac:dyDescent="0.25">
      <c r="A48" s="76"/>
      <c r="B48" s="538" t="s">
        <v>251</v>
      </c>
      <c r="C48" s="538"/>
      <c r="D48" s="538"/>
      <c r="E48" s="56">
        <f>SUM(E42:E47)/6*60%</f>
        <v>0</v>
      </c>
      <c r="F48" s="56">
        <f>SUM(F42:F47)/6*20%</f>
        <v>0</v>
      </c>
      <c r="G48" s="56">
        <f>SUM(G42:G47)/6*20%</f>
        <v>0</v>
      </c>
      <c r="H48" s="536"/>
      <c r="I48" s="536"/>
      <c r="J48" s="537"/>
      <c r="K48" s="60"/>
      <c r="L48"/>
    </row>
    <row r="49" spans="1:13" ht="22.5" hidden="1" x14ac:dyDescent="0.25">
      <c r="A49" s="76"/>
      <c r="B49" s="535">
        <v>6</v>
      </c>
      <c r="C49" s="535" t="s">
        <v>273</v>
      </c>
      <c r="D49" s="103" t="s">
        <v>274</v>
      </c>
      <c r="E49" s="99"/>
      <c r="F49" s="99"/>
      <c r="G49" s="99"/>
      <c r="H49" s="536"/>
      <c r="I49" s="536">
        <f>SUM(E54:G54)</f>
        <v>0</v>
      </c>
      <c r="J49" s="539"/>
      <c r="K49" s="60"/>
      <c r="L49"/>
    </row>
    <row r="50" spans="1:13" ht="33.75" hidden="1" x14ac:dyDescent="0.25">
      <c r="A50" s="76"/>
      <c r="B50" s="535"/>
      <c r="C50" s="535"/>
      <c r="D50" s="103" t="s">
        <v>275</v>
      </c>
      <c r="E50" s="99"/>
      <c r="F50" s="99"/>
      <c r="G50" s="99"/>
      <c r="H50" s="536"/>
      <c r="I50" s="536"/>
      <c r="J50" s="539"/>
      <c r="K50" s="60"/>
      <c r="L50"/>
    </row>
    <row r="51" spans="1:13" ht="33.75" hidden="1" x14ac:dyDescent="0.25">
      <c r="A51" s="76"/>
      <c r="B51" s="535"/>
      <c r="C51" s="535"/>
      <c r="D51" s="103" t="s">
        <v>276</v>
      </c>
      <c r="E51" s="99"/>
      <c r="F51" s="99"/>
      <c r="G51" s="99"/>
      <c r="H51" s="536"/>
      <c r="I51" s="536"/>
      <c r="J51" s="539"/>
      <c r="K51" s="60"/>
      <c r="L51"/>
    </row>
    <row r="52" spans="1:13" ht="33.75" hidden="1" x14ac:dyDescent="0.25">
      <c r="A52" s="76"/>
      <c r="B52" s="535"/>
      <c r="C52" s="535"/>
      <c r="D52" s="103" t="s">
        <v>277</v>
      </c>
      <c r="E52" s="99"/>
      <c r="F52" s="99"/>
      <c r="G52" s="99"/>
      <c r="H52" s="536"/>
      <c r="I52" s="536"/>
      <c r="J52" s="539"/>
      <c r="K52" s="60"/>
      <c r="L52"/>
    </row>
    <row r="53" spans="1:13" ht="45" hidden="1" x14ac:dyDescent="0.25">
      <c r="A53" s="76"/>
      <c r="B53" s="535"/>
      <c r="C53" s="535"/>
      <c r="D53" s="103" t="s">
        <v>278</v>
      </c>
      <c r="E53" s="99"/>
      <c r="F53" s="99"/>
      <c r="G53" s="99"/>
      <c r="H53" s="536"/>
      <c r="I53" s="536"/>
      <c r="J53" s="539"/>
      <c r="K53" s="60"/>
      <c r="L53"/>
    </row>
    <row r="54" spans="1:13" ht="24.75" hidden="1" customHeight="1" x14ac:dyDescent="0.25">
      <c r="A54" s="76"/>
      <c r="B54" s="538" t="s">
        <v>251</v>
      </c>
      <c r="C54" s="538"/>
      <c r="D54" s="538"/>
      <c r="E54" s="56">
        <f>SUM(E49:E53)/5*60%</f>
        <v>0</v>
      </c>
      <c r="F54" s="56">
        <f>SUM(F49:F53)/5*20%</f>
        <v>0</v>
      </c>
      <c r="G54" s="56">
        <f>SUM(G49:G53)/5*20%</f>
        <v>0</v>
      </c>
      <c r="H54" s="536"/>
      <c r="I54" s="536"/>
      <c r="J54" s="539"/>
      <c r="K54" s="60"/>
      <c r="L54"/>
    </row>
    <row r="55" spans="1:13" ht="24.75" hidden="1" customHeight="1" x14ac:dyDescent="0.25">
      <c r="A55" s="76"/>
      <c r="B55" s="535">
        <v>7</v>
      </c>
      <c r="C55" s="535" t="s">
        <v>279</v>
      </c>
      <c r="D55" s="55" t="s">
        <v>280</v>
      </c>
      <c r="E55" s="99"/>
      <c r="F55" s="99"/>
      <c r="G55" s="99"/>
      <c r="H55" s="540"/>
      <c r="I55" s="544">
        <f>SUM(E59:G59)</f>
        <v>0</v>
      </c>
      <c r="J55" s="539"/>
      <c r="K55" s="60"/>
      <c r="L55"/>
    </row>
    <row r="56" spans="1:13" ht="47.25" hidden="1" customHeight="1" x14ac:dyDescent="0.25">
      <c r="A56" s="76"/>
      <c r="B56" s="535"/>
      <c r="C56" s="535"/>
      <c r="D56" s="55" t="s">
        <v>281</v>
      </c>
      <c r="E56" s="99"/>
      <c r="F56" s="99"/>
      <c r="G56" s="99"/>
      <c r="H56" s="540"/>
      <c r="I56" s="545"/>
      <c r="J56" s="539"/>
      <c r="K56" s="60"/>
      <c r="L56"/>
    </row>
    <row r="57" spans="1:13" ht="14.25" hidden="1" customHeight="1" x14ac:dyDescent="0.25">
      <c r="A57" s="76"/>
      <c r="B57" s="535"/>
      <c r="C57" s="535"/>
      <c r="D57" s="55" t="s">
        <v>282</v>
      </c>
      <c r="E57" s="99"/>
      <c r="F57" s="99"/>
      <c r="G57" s="99"/>
      <c r="H57" s="540"/>
      <c r="I57" s="545"/>
      <c r="J57" s="539"/>
      <c r="K57" s="60"/>
      <c r="L57"/>
    </row>
    <row r="58" spans="1:13" ht="27" hidden="1" customHeight="1" x14ac:dyDescent="0.25">
      <c r="A58" s="76"/>
      <c r="B58" s="535"/>
      <c r="C58" s="535"/>
      <c r="D58" s="55" t="s">
        <v>283</v>
      </c>
      <c r="E58" s="99"/>
      <c r="F58" s="99"/>
      <c r="G58" s="99"/>
      <c r="H58" s="540"/>
      <c r="I58" s="545"/>
      <c r="J58" s="539"/>
      <c r="K58" s="60"/>
      <c r="L58"/>
    </row>
    <row r="59" spans="1:13" ht="24.75" hidden="1" customHeight="1" x14ac:dyDescent="0.25">
      <c r="A59" s="76"/>
      <c r="B59" s="538" t="s">
        <v>251</v>
      </c>
      <c r="C59" s="538"/>
      <c r="D59" s="538"/>
      <c r="E59" s="56">
        <f>SUM(E55:E58)/4*60%</f>
        <v>0</v>
      </c>
      <c r="F59" s="56">
        <f>SUM(F55:F58)/4*20%</f>
        <v>0</v>
      </c>
      <c r="G59" s="56">
        <f>SUM(G55:G58)/4*20%</f>
        <v>0</v>
      </c>
      <c r="H59" s="540"/>
      <c r="I59" s="546"/>
      <c r="J59" s="539"/>
      <c r="K59" s="60"/>
      <c r="L59"/>
    </row>
    <row r="60" spans="1:13" x14ac:dyDescent="0.25">
      <c r="A60" s="76"/>
      <c r="B60" s="538" t="s">
        <v>284</v>
      </c>
      <c r="C60" s="538"/>
      <c r="D60" s="538"/>
      <c r="E60" s="97">
        <f>AVERAGE(E48,E41,E34,E27,E21)</f>
        <v>0</v>
      </c>
      <c r="F60" s="97">
        <f>AVERAGE(F48,F41,F34,F27,F21)</f>
        <v>0</v>
      </c>
      <c r="G60" s="97">
        <f>AVERAGE(G48,G41,G34,G27,G21)</f>
        <v>0</v>
      </c>
      <c r="H60" s="60"/>
      <c r="I60" s="60"/>
      <c r="J60" s="60"/>
      <c r="K60" s="60"/>
      <c r="L60"/>
    </row>
    <row r="61" spans="1:13" ht="15.75" thickBot="1" x14ac:dyDescent="0.3">
      <c r="A61" s="76"/>
      <c r="B61" s="60"/>
      <c r="C61" s="60"/>
      <c r="D61" s="61"/>
      <c r="E61" s="96"/>
      <c r="F61" s="96"/>
      <c r="G61" s="96"/>
      <c r="H61" s="60"/>
      <c r="I61" s="60"/>
      <c r="J61" s="60"/>
      <c r="K61" s="60"/>
      <c r="L61"/>
    </row>
    <row r="62" spans="1:13" ht="18.75" customHeight="1" thickBot="1" x14ac:dyDescent="0.3">
      <c r="A62" s="76"/>
      <c r="B62" s="62"/>
      <c r="C62" s="62"/>
      <c r="D62" s="62"/>
      <c r="E62" s="548" t="s">
        <v>285</v>
      </c>
      <c r="F62" s="549"/>
      <c r="G62" s="550"/>
      <c r="H62" s="105"/>
      <c r="I62" s="106">
        <f>AVERAGE(I14:I48)</f>
        <v>0</v>
      </c>
      <c r="J62" s="107">
        <f>I62/5*100%</f>
        <v>0</v>
      </c>
      <c r="K62" s="60"/>
      <c r="L62"/>
    </row>
    <row r="63" spans="1:13" ht="36" customHeight="1" x14ac:dyDescent="0.25">
      <c r="A63" s="76"/>
      <c r="B63" s="76"/>
      <c r="C63" s="76"/>
      <c r="D63" s="87"/>
      <c r="E63" s="76"/>
      <c r="F63" s="76"/>
      <c r="G63" s="76"/>
      <c r="H63" s="76"/>
      <c r="I63" s="76"/>
      <c r="J63" s="76"/>
      <c r="K63" s="60"/>
      <c r="L63"/>
      <c r="M63"/>
    </row>
    <row r="64" spans="1:13" ht="30" customHeight="1" x14ac:dyDescent="0.25">
      <c r="A64" s="76"/>
      <c r="B64" s="76"/>
      <c r="C64" s="100" t="s">
        <v>216</v>
      </c>
      <c r="D64" s="181">
        <f>+'ANEXO 1'!D24</f>
        <v>44928</v>
      </c>
      <c r="E64" s="76"/>
      <c r="F64" s="76"/>
      <c r="G64" s="76"/>
      <c r="H64" s="551" t="str">
        <f>+'ANEXO 1'!L24</f>
        <v>Sandra Patricia Gomez Montoya</v>
      </c>
      <c r="I64" s="551"/>
      <c r="J64" s="252" t="str">
        <f>+'ANEXO 1'!G24</f>
        <v>Francisco Augusto Giuseppe Rossi Buenaventura</v>
      </c>
      <c r="K64" s="60"/>
      <c r="L64"/>
      <c r="M64"/>
    </row>
    <row r="65" spans="1:13" ht="30" customHeight="1" x14ac:dyDescent="0.25">
      <c r="A65" s="76"/>
      <c r="B65" s="76"/>
      <c r="C65" s="100" t="s">
        <v>217</v>
      </c>
      <c r="D65" s="100" t="s">
        <v>286</v>
      </c>
      <c r="E65" s="76"/>
      <c r="F65" s="76"/>
      <c r="G65" s="76"/>
      <c r="H65" s="552" t="s">
        <v>220</v>
      </c>
      <c r="I65" s="552"/>
      <c r="J65" s="100" t="s">
        <v>287</v>
      </c>
      <c r="K65" s="60"/>
      <c r="L65"/>
      <c r="M65"/>
    </row>
    <row r="66" spans="1:13" x14ac:dyDescent="0.25">
      <c r="A66" s="76"/>
      <c r="B66" s="76"/>
      <c r="C66" s="76"/>
      <c r="D66" s="76"/>
      <c r="E66" s="76"/>
      <c r="F66" s="76"/>
      <c r="G66" s="76"/>
      <c r="H66" s="76"/>
      <c r="I66" s="76"/>
      <c r="J66" s="76"/>
      <c r="K66" s="76"/>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B60:D60"/>
    <mergeCell ref="E62:G62"/>
    <mergeCell ref="H64:I64"/>
    <mergeCell ref="H65:I65"/>
    <mergeCell ref="B55:B58"/>
    <mergeCell ref="C55:C58"/>
    <mergeCell ref="H55:H59"/>
    <mergeCell ref="I55:I59"/>
    <mergeCell ref="J55:J59"/>
    <mergeCell ref="B59:D59"/>
    <mergeCell ref="B49:B53"/>
    <mergeCell ref="C49:C53"/>
    <mergeCell ref="H49:H54"/>
    <mergeCell ref="I49:I54"/>
    <mergeCell ref="J49:J54"/>
    <mergeCell ref="B54:D54"/>
    <mergeCell ref="B42:B47"/>
    <mergeCell ref="C42:C47"/>
    <mergeCell ref="H42:H48"/>
    <mergeCell ref="I42:I48"/>
    <mergeCell ref="J42:J48"/>
    <mergeCell ref="B48:D48"/>
    <mergeCell ref="B35:B40"/>
    <mergeCell ref="C35:C40"/>
    <mergeCell ref="H35:H41"/>
    <mergeCell ref="I35:I41"/>
    <mergeCell ref="J35:J41"/>
    <mergeCell ref="B41:D41"/>
    <mergeCell ref="B28:B33"/>
    <mergeCell ref="C28:C33"/>
    <mergeCell ref="H28:H34"/>
    <mergeCell ref="I28:I34"/>
    <mergeCell ref="J28:J34"/>
    <mergeCell ref="B34:D34"/>
    <mergeCell ref="B22:B26"/>
    <mergeCell ref="C22:C26"/>
    <mergeCell ref="H22:H27"/>
    <mergeCell ref="I22:I27"/>
    <mergeCell ref="J22:J27"/>
    <mergeCell ref="B27:D27"/>
    <mergeCell ref="J11:J13"/>
    <mergeCell ref="B14:B20"/>
    <mergeCell ref="C14:C20"/>
    <mergeCell ref="H14:H21"/>
    <mergeCell ref="I14:I21"/>
    <mergeCell ref="J14:J21"/>
    <mergeCell ref="B21:D21"/>
    <mergeCell ref="C9:I9"/>
    <mergeCell ref="B11:C13"/>
    <mergeCell ref="D11:D13"/>
    <mergeCell ref="E11:G11"/>
    <mergeCell ref="H11:H13"/>
    <mergeCell ref="I11:I13"/>
    <mergeCell ref="C8:I8"/>
    <mergeCell ref="B2:J2"/>
    <mergeCell ref="B4:J4"/>
    <mergeCell ref="C5:I5"/>
    <mergeCell ref="C6:I6"/>
    <mergeCell ref="C7:I7"/>
  </mergeCells>
  <dataValidations count="2">
    <dataValidation type="whole" allowBlank="1" showInputMessage="1" showErrorMessage="1" sqref="E55:G58" xr:uid="{00000000-0002-0000-0D00-000000000000}">
      <formula1>1</formula1>
      <formula2>5</formula2>
    </dataValidation>
    <dataValidation type="whole" showInputMessage="1" showErrorMessage="1" sqref="E49:G53 E14:G20 E22:G26 E28:G33 E35:G40 E42:G47" xr:uid="{00000000-0002-0000-0D00-000001000000}">
      <formula1>1</formula1>
      <formula2>5</formula2>
    </dataValidation>
  </dataValidations>
  <pageMargins left="0.7" right="0.7" top="0.75" bottom="0.75" header="0.3" footer="0.3"/>
  <pageSetup paperSize="175" scale="17"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36"/>
  <sheetViews>
    <sheetView view="pageBreakPreview" zoomScale="60" zoomScaleNormal="95" zoomScalePageLayoutView="95" workbookViewId="0">
      <selection activeCell="B4" sqref="B4:H4"/>
    </sheetView>
  </sheetViews>
  <sheetFormatPr baseColWidth="10" defaultColWidth="11.42578125" defaultRowHeight="18" x14ac:dyDescent="0.25"/>
  <cols>
    <col min="1" max="1" width="1.85546875" style="109" customWidth="1"/>
    <col min="2" max="2" width="4.7109375" style="109" customWidth="1"/>
    <col min="3" max="3" width="57.28515625" style="109" customWidth="1"/>
    <col min="4" max="4" width="59.28515625" style="109" customWidth="1"/>
    <col min="5" max="5" width="37.42578125" style="109" customWidth="1"/>
    <col min="6" max="6" width="40.85546875" style="109" customWidth="1"/>
    <col min="7" max="7" width="37.85546875" style="109" customWidth="1"/>
    <col min="8" max="8" width="7" style="109" customWidth="1"/>
    <col min="9" max="9" width="1.28515625" style="109" customWidth="1"/>
    <col min="10" max="10" width="24.7109375" style="109" bestFit="1" customWidth="1"/>
    <col min="11" max="16384" width="11.42578125" style="109"/>
  </cols>
  <sheetData>
    <row r="2" spans="1:9" ht="30" customHeight="1" x14ac:dyDescent="0.25">
      <c r="A2" s="108"/>
      <c r="B2" s="108"/>
      <c r="C2" s="108"/>
      <c r="D2" s="108"/>
      <c r="E2" s="108"/>
      <c r="F2" s="108"/>
      <c r="G2" s="108"/>
      <c r="H2" s="108"/>
      <c r="I2" s="108"/>
    </row>
    <row r="3" spans="1:9" ht="18" customHeight="1" thickBot="1" x14ac:dyDescent="0.3">
      <c r="A3" s="108"/>
      <c r="B3" s="108"/>
      <c r="C3" s="108"/>
      <c r="D3" s="108"/>
      <c r="E3" s="108"/>
      <c r="F3" s="108"/>
      <c r="G3" s="108"/>
      <c r="H3" s="108"/>
      <c r="I3" s="108"/>
    </row>
    <row r="4" spans="1:9" ht="36.75" customHeight="1" thickBot="1" x14ac:dyDescent="0.3">
      <c r="A4" s="108"/>
      <c r="B4" s="452" t="s">
        <v>288</v>
      </c>
      <c r="C4" s="453"/>
      <c r="D4" s="453"/>
      <c r="E4" s="453"/>
      <c r="F4" s="453"/>
      <c r="G4" s="453"/>
      <c r="H4" s="454"/>
      <c r="I4" s="108"/>
    </row>
    <row r="5" spans="1:9" x14ac:dyDescent="0.25">
      <c r="A5" s="108"/>
      <c r="B5" s="110"/>
      <c r="C5" s="111"/>
      <c r="D5" s="555"/>
      <c r="E5" s="555"/>
      <c r="F5" s="555"/>
      <c r="G5" s="555"/>
      <c r="H5" s="112"/>
      <c r="I5" s="108"/>
    </row>
    <row r="6" spans="1:9" x14ac:dyDescent="0.25">
      <c r="A6" s="108"/>
      <c r="B6" s="110"/>
      <c r="C6" s="111" t="s">
        <v>289</v>
      </c>
      <c r="D6" s="568" t="s">
        <v>290</v>
      </c>
      <c r="E6" s="568"/>
      <c r="F6" s="568"/>
      <c r="G6" s="568"/>
      <c r="H6" s="112"/>
      <c r="I6" s="108"/>
    </row>
    <row r="7" spans="1:9" x14ac:dyDescent="0.25">
      <c r="A7" s="108"/>
      <c r="B7" s="110"/>
      <c r="C7" s="111" t="s">
        <v>291</v>
      </c>
      <c r="D7" s="569" t="s">
        <v>292</v>
      </c>
      <c r="E7" s="569"/>
      <c r="F7" s="569"/>
      <c r="G7" s="569"/>
      <c r="H7" s="112"/>
      <c r="I7" s="108"/>
    </row>
    <row r="8" spans="1:9" x14ac:dyDescent="0.25">
      <c r="A8" s="108"/>
      <c r="B8" s="110"/>
      <c r="C8" s="111" t="s">
        <v>293</v>
      </c>
      <c r="D8" s="570">
        <f>+'ANEXO 2'!D64</f>
        <v>44928</v>
      </c>
      <c r="E8" s="569"/>
      <c r="F8" s="569"/>
      <c r="G8" s="569"/>
      <c r="H8" s="112"/>
      <c r="I8" s="108"/>
    </row>
    <row r="9" spans="1:9" ht="18.75" thickBot="1" x14ac:dyDescent="0.3">
      <c r="A9" s="108"/>
      <c r="B9" s="110"/>
      <c r="C9" s="111"/>
      <c r="D9" s="113"/>
      <c r="E9" s="113"/>
      <c r="F9" s="113"/>
      <c r="G9" s="113"/>
      <c r="H9" s="112"/>
      <c r="I9" s="108"/>
    </row>
    <row r="10" spans="1:9" ht="36" customHeight="1" thickBot="1" x14ac:dyDescent="0.3">
      <c r="A10" s="108"/>
      <c r="B10" s="565" t="s">
        <v>294</v>
      </c>
      <c r="C10" s="566"/>
      <c r="D10" s="566"/>
      <c r="E10" s="566"/>
      <c r="F10" s="566"/>
      <c r="G10" s="566"/>
      <c r="H10" s="567"/>
      <c r="I10" s="108"/>
    </row>
    <row r="11" spans="1:9" x14ac:dyDescent="0.25">
      <c r="A11" s="108"/>
      <c r="B11" s="110"/>
      <c r="C11" s="108"/>
      <c r="D11" s="108"/>
      <c r="E11" s="108"/>
      <c r="F11" s="108"/>
      <c r="G11" s="108"/>
      <c r="H11" s="112"/>
      <c r="I11" s="108"/>
    </row>
    <row r="12" spans="1:9" x14ac:dyDescent="0.25">
      <c r="A12" s="108"/>
      <c r="B12" s="110"/>
      <c r="C12" s="554" t="s">
        <v>295</v>
      </c>
      <c r="D12" s="114"/>
      <c r="E12" s="114"/>
      <c r="F12" s="555"/>
      <c r="G12" s="555"/>
      <c r="H12" s="556"/>
      <c r="I12" s="108"/>
    </row>
    <row r="13" spans="1:9" x14ac:dyDescent="0.25">
      <c r="A13" s="108"/>
      <c r="B13" s="110"/>
      <c r="C13" s="554"/>
      <c r="D13" s="188">
        <f>+'ANEXO 1'!P19</f>
        <v>1</v>
      </c>
      <c r="E13" s="557">
        <f>(D13*D14)/100%</f>
        <v>0.8</v>
      </c>
      <c r="F13" s="555"/>
      <c r="G13" s="555"/>
      <c r="H13" s="556"/>
      <c r="I13" s="108"/>
    </row>
    <row r="14" spans="1:9" ht="40.5" customHeight="1" x14ac:dyDescent="0.25">
      <c r="A14" s="108"/>
      <c r="B14" s="110"/>
      <c r="C14" s="116" t="s">
        <v>296</v>
      </c>
      <c r="D14" s="117">
        <v>0.8</v>
      </c>
      <c r="E14" s="557"/>
      <c r="F14" s="555"/>
      <c r="G14" s="555"/>
      <c r="H14" s="556"/>
      <c r="I14" s="108"/>
    </row>
    <row r="15" spans="1:9" x14ac:dyDescent="0.25">
      <c r="A15" s="108"/>
      <c r="B15" s="110"/>
      <c r="C15" s="114" t="s">
        <v>297</v>
      </c>
      <c r="D15" s="118">
        <f>+'ANEXO 2'!I62</f>
        <v>0</v>
      </c>
      <c r="E15" s="557">
        <f>(D15*D16)/5</f>
        <v>0</v>
      </c>
      <c r="F15" s="555"/>
      <c r="G15" s="555"/>
      <c r="H15" s="556"/>
      <c r="I15" s="108"/>
    </row>
    <row r="16" spans="1:9" x14ac:dyDescent="0.25">
      <c r="A16" s="108"/>
      <c r="B16" s="110"/>
      <c r="C16" s="114" t="s">
        <v>298</v>
      </c>
      <c r="D16" s="117">
        <v>0.2</v>
      </c>
      <c r="E16" s="557"/>
      <c r="F16" s="555"/>
      <c r="G16" s="555"/>
      <c r="H16" s="556"/>
      <c r="I16" s="108"/>
    </row>
    <row r="17" spans="1:9" x14ac:dyDescent="0.25">
      <c r="A17" s="108"/>
      <c r="B17" s="110"/>
      <c r="C17" s="114"/>
      <c r="D17" s="117"/>
      <c r="E17" s="119"/>
      <c r="F17" s="555"/>
      <c r="G17" s="555"/>
      <c r="H17" s="556"/>
      <c r="I17" s="108"/>
    </row>
    <row r="18" spans="1:9" x14ac:dyDescent="0.25">
      <c r="A18" s="108"/>
      <c r="B18" s="110"/>
      <c r="C18" s="114" t="s">
        <v>299</v>
      </c>
      <c r="D18" s="117"/>
      <c r="E18" s="115">
        <f>SUM(E13:E16)</f>
        <v>0.8</v>
      </c>
      <c r="F18" s="555"/>
      <c r="G18" s="555"/>
      <c r="H18" s="556"/>
      <c r="I18" s="108"/>
    </row>
    <row r="19" spans="1:9" x14ac:dyDescent="0.25">
      <c r="A19" s="108"/>
      <c r="B19" s="110"/>
      <c r="C19" s="108"/>
      <c r="D19" s="108"/>
      <c r="E19" s="108"/>
      <c r="F19" s="108"/>
      <c r="G19" s="555"/>
      <c r="H19" s="556"/>
      <c r="I19" s="108"/>
    </row>
    <row r="20" spans="1:9" x14ac:dyDescent="0.25">
      <c r="A20" s="108"/>
      <c r="B20" s="110"/>
      <c r="C20" s="558" t="s">
        <v>300</v>
      </c>
      <c r="D20" s="560">
        <v>0.05</v>
      </c>
      <c r="E20" s="562">
        <f>+'ANEXO 1'!P21</f>
        <v>0.05</v>
      </c>
      <c r="F20" s="108"/>
      <c r="G20" s="555"/>
      <c r="H20" s="556"/>
      <c r="I20" s="108"/>
    </row>
    <row r="21" spans="1:9" x14ac:dyDescent="0.25">
      <c r="A21" s="108"/>
      <c r="B21" s="110"/>
      <c r="C21" s="559"/>
      <c r="D21" s="561"/>
      <c r="E21" s="563"/>
      <c r="F21" s="108"/>
      <c r="G21" s="120"/>
      <c r="H21" s="121"/>
      <c r="I21" s="108"/>
    </row>
    <row r="22" spans="1:9" ht="18.75" thickBot="1" x14ac:dyDescent="0.3">
      <c r="A22" s="108"/>
      <c r="B22" s="110"/>
      <c r="C22" s="108"/>
      <c r="D22" s="108"/>
      <c r="E22" s="108"/>
      <c r="F22" s="108"/>
      <c r="G22" s="120"/>
      <c r="H22" s="121"/>
      <c r="I22" s="108"/>
    </row>
    <row r="23" spans="1:9" ht="24.95" customHeight="1" thickBot="1" x14ac:dyDescent="0.3">
      <c r="A23" s="108"/>
      <c r="B23" s="110"/>
      <c r="C23" s="108"/>
      <c r="D23" s="122" t="s">
        <v>301</v>
      </c>
      <c r="E23" s="123">
        <f>E18+E20</f>
        <v>0.85000000000000009</v>
      </c>
      <c r="F23" s="108"/>
      <c r="G23" s="120"/>
      <c r="H23" s="121"/>
      <c r="I23" s="108"/>
    </row>
    <row r="24" spans="1:9" x14ac:dyDescent="0.25">
      <c r="A24" s="108"/>
      <c r="B24" s="110"/>
      <c r="C24" s="108"/>
      <c r="D24" s="108"/>
      <c r="E24" s="108"/>
      <c r="F24" s="108"/>
      <c r="G24" s="108"/>
      <c r="H24" s="112"/>
      <c r="I24" s="108"/>
    </row>
    <row r="25" spans="1:9" x14ac:dyDescent="0.25">
      <c r="A25" s="108"/>
      <c r="B25" s="110"/>
      <c r="C25" s="108"/>
      <c r="D25" s="108"/>
      <c r="E25" s="108"/>
      <c r="F25" s="108"/>
      <c r="G25" s="108"/>
      <c r="H25" s="112"/>
      <c r="I25" s="108"/>
    </row>
    <row r="26" spans="1:9" x14ac:dyDescent="0.25">
      <c r="A26" s="108"/>
      <c r="B26" s="110"/>
      <c r="C26" s="108"/>
      <c r="D26" s="108"/>
      <c r="E26" s="108"/>
      <c r="F26" s="108"/>
      <c r="G26" s="108"/>
      <c r="H26" s="112"/>
      <c r="I26" s="108"/>
    </row>
    <row r="27" spans="1:9" x14ac:dyDescent="0.25">
      <c r="A27" s="108"/>
      <c r="B27" s="110"/>
      <c r="C27" s="108"/>
      <c r="D27" s="108"/>
      <c r="E27" s="108"/>
      <c r="F27" s="108"/>
      <c r="G27" s="108"/>
      <c r="H27" s="112"/>
      <c r="I27" s="108"/>
    </row>
    <row r="28" spans="1:9" x14ac:dyDescent="0.25">
      <c r="A28" s="108"/>
      <c r="B28" s="110"/>
      <c r="C28" s="564" t="str">
        <f>+'ANEXO 2'!J64</f>
        <v>Francisco Augusto Giuseppe Rossi Buenaventura</v>
      </c>
      <c r="D28" s="564"/>
      <c r="E28" s="108"/>
      <c r="F28" s="564" t="str">
        <f>+'ANEXO 2'!H64</f>
        <v>Sandra Patricia Gomez Montoya</v>
      </c>
      <c r="G28" s="564"/>
      <c r="H28" s="112"/>
      <c r="I28" s="108"/>
    </row>
    <row r="29" spans="1:9" x14ac:dyDescent="0.25">
      <c r="A29" s="108"/>
      <c r="B29" s="110"/>
      <c r="C29" s="553" t="s">
        <v>302</v>
      </c>
      <c r="D29" s="553"/>
      <c r="E29" s="108"/>
      <c r="F29" s="553" t="s">
        <v>303</v>
      </c>
      <c r="G29" s="553"/>
      <c r="H29" s="121"/>
      <c r="I29" s="108"/>
    </row>
    <row r="30" spans="1:9" x14ac:dyDescent="0.25">
      <c r="A30" s="108"/>
      <c r="B30" s="110"/>
      <c r="C30" s="108"/>
      <c r="D30" s="108"/>
      <c r="E30" s="108"/>
      <c r="F30" s="108"/>
      <c r="G30" s="108"/>
      <c r="H30" s="112"/>
      <c r="I30" s="108"/>
    </row>
    <row r="31" spans="1:9" x14ac:dyDescent="0.25">
      <c r="A31" s="108"/>
      <c r="B31" s="110"/>
      <c r="C31" s="108"/>
      <c r="D31" s="108"/>
      <c r="E31" s="108"/>
      <c r="F31" s="108"/>
      <c r="G31" s="108"/>
      <c r="H31" s="112"/>
      <c r="I31" s="108"/>
    </row>
    <row r="32" spans="1:9" x14ac:dyDescent="0.25">
      <c r="A32" s="108"/>
      <c r="B32" s="110"/>
      <c r="C32" s="108"/>
      <c r="D32" s="108"/>
      <c r="E32" s="108"/>
      <c r="F32" s="108"/>
      <c r="G32" s="108"/>
      <c r="H32" s="112"/>
      <c r="I32" s="108"/>
    </row>
    <row r="33" spans="1:9" x14ac:dyDescent="0.25">
      <c r="A33" s="108"/>
      <c r="B33" s="110"/>
      <c r="C33" s="108"/>
      <c r="D33" s="124" t="s">
        <v>304</v>
      </c>
      <c r="E33" s="182">
        <f>+'ANEXO 2'!D64</f>
        <v>44928</v>
      </c>
      <c r="F33" s="108"/>
      <c r="G33" s="108"/>
      <c r="H33" s="112"/>
      <c r="I33" s="108"/>
    </row>
    <row r="34" spans="1:9" x14ac:dyDescent="0.25">
      <c r="A34" s="108"/>
      <c r="B34" s="110"/>
      <c r="C34" s="108"/>
      <c r="D34" s="124" t="s">
        <v>305</v>
      </c>
      <c r="E34" s="244" t="s">
        <v>286</v>
      </c>
      <c r="F34" s="108"/>
      <c r="G34" s="108"/>
      <c r="H34" s="112"/>
      <c r="I34" s="108"/>
    </row>
    <row r="35" spans="1:9" ht="18.75" thickBot="1" x14ac:dyDescent="0.3">
      <c r="A35" s="108"/>
      <c r="B35" s="125"/>
      <c r="C35" s="126"/>
      <c r="D35" s="126"/>
      <c r="E35" s="126"/>
      <c r="F35" s="126"/>
      <c r="G35" s="126"/>
      <c r="H35" s="127"/>
      <c r="I35" s="108"/>
    </row>
    <row r="36" spans="1:9" ht="13.35" customHeight="1" x14ac:dyDescent="0.25">
      <c r="A36" s="108"/>
      <c r="B36" s="108"/>
      <c r="C36" s="108"/>
      <c r="D36" s="108"/>
      <c r="E36" s="108"/>
      <c r="F36" s="108"/>
      <c r="G36" s="108"/>
      <c r="H36" s="108"/>
      <c r="I36" s="108"/>
    </row>
  </sheetData>
  <mergeCells count="18">
    <mergeCell ref="B10:H10"/>
    <mergeCell ref="B4:H4"/>
    <mergeCell ref="D5:G5"/>
    <mergeCell ref="D6:G6"/>
    <mergeCell ref="D7:G7"/>
    <mergeCell ref="D8:G8"/>
    <mergeCell ref="C29:D29"/>
    <mergeCell ref="F29:G29"/>
    <mergeCell ref="C12:C13"/>
    <mergeCell ref="F12:H18"/>
    <mergeCell ref="E13:E14"/>
    <mergeCell ref="E15:E16"/>
    <mergeCell ref="G19:H20"/>
    <mergeCell ref="C20:C21"/>
    <mergeCell ref="D20:D21"/>
    <mergeCell ref="E20:E21"/>
    <mergeCell ref="C28:D28"/>
    <mergeCell ref="F28:G28"/>
  </mergeCells>
  <pageMargins left="0.7" right="0.7" top="0.75" bottom="0.75" header="0.3" footer="0.3"/>
  <pageSetup paperSize="175"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zoomScale="86" zoomScaleNormal="86" zoomScalePageLayoutView="86" workbookViewId="0">
      <selection activeCell="B9" sqref="B9:I9"/>
    </sheetView>
  </sheetViews>
  <sheetFormatPr baseColWidth="10" defaultColWidth="10.85546875" defaultRowHeight="15.75" x14ac:dyDescent="0.25"/>
  <cols>
    <col min="1" max="1" width="3.28515625" style="57" customWidth="1"/>
    <col min="2" max="2" width="38.28515625" style="57" customWidth="1"/>
    <col min="3" max="3" width="15.28515625" style="57" bestFit="1" customWidth="1"/>
    <col min="4" max="8" width="10.85546875" style="57"/>
    <col min="9" max="9" width="17.85546875" style="57" customWidth="1"/>
    <col min="10" max="10" width="3.140625" style="57" customWidth="1"/>
    <col min="11" max="11" width="3.42578125" style="57" customWidth="1"/>
    <col min="12" max="12" width="38.42578125" style="57" customWidth="1"/>
    <col min="13" max="13" width="15.28515625" style="57" customWidth="1"/>
    <col min="14" max="16" width="10.85546875" style="57"/>
    <col min="17" max="17" width="11.42578125" style="57" customWidth="1"/>
    <col min="18" max="19" width="10.85546875" style="57"/>
    <col min="20" max="20" width="17.85546875" style="57" customWidth="1"/>
    <col min="21" max="21" width="3.28515625" style="57" customWidth="1"/>
    <col min="22" max="16384" width="10.85546875" style="57"/>
  </cols>
  <sheetData>
    <row r="1" spans="1:12" x14ac:dyDescent="0.25">
      <c r="A1" s="58"/>
      <c r="B1" s="58"/>
      <c r="C1" s="58"/>
      <c r="D1" s="58"/>
      <c r="E1" s="58"/>
      <c r="F1" s="58"/>
      <c r="G1" s="58"/>
      <c r="H1" s="58"/>
      <c r="I1" s="58"/>
      <c r="J1" s="58"/>
      <c r="K1" s="58"/>
    </row>
    <row r="2" spans="1:12" x14ac:dyDescent="0.25">
      <c r="A2" s="58"/>
      <c r="B2" s="58"/>
      <c r="C2" s="58"/>
      <c r="D2" s="58"/>
      <c r="E2" s="58"/>
      <c r="F2" s="58"/>
      <c r="G2" s="58"/>
      <c r="H2" s="58"/>
      <c r="I2" s="58"/>
      <c r="J2" s="58"/>
      <c r="K2" s="58"/>
    </row>
    <row r="3" spans="1:12" x14ac:dyDescent="0.25">
      <c r="A3" s="58"/>
      <c r="B3" s="58"/>
      <c r="C3" s="58"/>
      <c r="D3" s="58"/>
      <c r="E3" s="58"/>
      <c r="F3" s="58"/>
      <c r="G3" s="58"/>
      <c r="H3" s="58"/>
      <c r="I3" s="58"/>
      <c r="J3" s="58"/>
      <c r="K3" s="58"/>
    </row>
    <row r="4" spans="1:12" ht="24.75" customHeight="1" x14ac:dyDescent="0.25">
      <c r="A4" s="164"/>
      <c r="B4" s="58"/>
      <c r="C4" s="58"/>
      <c r="D4" s="58"/>
      <c r="E4" s="58"/>
      <c r="F4" s="58"/>
      <c r="G4" s="58"/>
      <c r="H4" s="58"/>
      <c r="I4" s="58"/>
      <c r="J4" s="58"/>
      <c r="K4" s="58"/>
      <c r="L4" s="63"/>
    </row>
    <row r="5" spans="1:12" x14ac:dyDescent="0.25">
      <c r="A5" s="63"/>
      <c r="B5" s="58"/>
      <c r="C5" s="58"/>
      <c r="D5" s="58"/>
      <c r="E5" s="58"/>
      <c r="F5" s="58"/>
      <c r="G5" s="58"/>
      <c r="H5" s="58"/>
      <c r="I5" s="58"/>
      <c r="J5" s="58"/>
      <c r="K5" s="58"/>
      <c r="L5" s="63"/>
    </row>
    <row r="6" spans="1:12" ht="12" customHeight="1" x14ac:dyDescent="0.25">
      <c r="A6" s="63"/>
      <c r="B6" s="165"/>
      <c r="C6" s="165"/>
      <c r="D6" s="165"/>
      <c r="E6" s="165"/>
      <c r="F6" s="165"/>
      <c r="G6" s="165"/>
      <c r="H6" s="165"/>
      <c r="I6" s="165"/>
      <c r="J6" s="165"/>
      <c r="K6" s="64"/>
      <c r="L6" s="63"/>
    </row>
    <row r="7" spans="1:12" ht="24" customHeight="1" x14ac:dyDescent="0.4">
      <c r="A7" s="63"/>
      <c r="B7" s="301" t="s">
        <v>51</v>
      </c>
      <c r="C7" s="301"/>
      <c r="D7" s="301"/>
      <c r="E7" s="301"/>
      <c r="F7" s="301"/>
      <c r="G7" s="301"/>
      <c r="H7" s="301"/>
      <c r="I7" s="301"/>
      <c r="J7" s="166"/>
      <c r="K7" s="64"/>
      <c r="L7" s="63"/>
    </row>
    <row r="8" spans="1:12" ht="12.95" customHeight="1" x14ac:dyDescent="0.25">
      <c r="A8" s="63"/>
      <c r="B8" s="64"/>
      <c r="C8" s="64"/>
      <c r="D8" s="167"/>
      <c r="E8" s="64"/>
      <c r="F8" s="64"/>
      <c r="G8" s="167"/>
      <c r="H8" s="64"/>
      <c r="I8" s="64"/>
      <c r="J8" s="64"/>
      <c r="K8" s="64"/>
      <c r="L8" s="63"/>
    </row>
    <row r="9" spans="1:12" ht="26.25" customHeight="1" x14ac:dyDescent="0.25">
      <c r="A9" s="63"/>
      <c r="B9" s="302" t="s">
        <v>52</v>
      </c>
      <c r="C9" s="302"/>
      <c r="D9" s="302"/>
      <c r="E9" s="302"/>
      <c r="F9" s="302"/>
      <c r="G9" s="302"/>
      <c r="H9" s="302"/>
      <c r="I9" s="302"/>
      <c r="J9" s="168"/>
      <c r="K9" s="64"/>
      <c r="L9" s="63"/>
    </row>
    <row r="10" spans="1:12" ht="15.95" customHeight="1" thickBot="1" x14ac:dyDescent="0.3">
      <c r="A10" s="63"/>
      <c r="B10" s="64"/>
      <c r="C10" s="64"/>
      <c r="D10" s="64"/>
      <c r="E10" s="64"/>
      <c r="F10" s="64"/>
      <c r="G10" s="64"/>
      <c r="H10" s="64"/>
      <c r="I10" s="64"/>
      <c r="J10" s="64"/>
      <c r="K10" s="64"/>
      <c r="L10" s="63"/>
    </row>
    <row r="11" spans="1:12" ht="66.75" customHeight="1" thickBot="1" x14ac:dyDescent="0.3">
      <c r="A11" s="63"/>
      <c r="B11" s="65" t="s">
        <v>53</v>
      </c>
      <c r="C11" s="298" t="s">
        <v>54</v>
      </c>
      <c r="D11" s="299"/>
      <c r="E11" s="299"/>
      <c r="F11" s="299"/>
      <c r="G11" s="299"/>
      <c r="H11" s="299"/>
      <c r="I11" s="300"/>
      <c r="J11" s="169"/>
      <c r="K11" s="64"/>
      <c r="L11" s="63"/>
    </row>
    <row r="12" spans="1:12" ht="24.75" customHeight="1" x14ac:dyDescent="0.25">
      <c r="A12" s="63"/>
      <c r="B12" s="286" t="s">
        <v>55</v>
      </c>
      <c r="C12" s="289" t="s">
        <v>56</v>
      </c>
      <c r="D12" s="290"/>
      <c r="E12" s="290"/>
      <c r="F12" s="290"/>
      <c r="G12" s="290"/>
      <c r="H12" s="290"/>
      <c r="I12" s="291"/>
      <c r="J12" s="169"/>
      <c r="K12" s="64"/>
      <c r="L12" s="63"/>
    </row>
    <row r="13" spans="1:12" ht="51.75" customHeight="1" x14ac:dyDescent="0.25">
      <c r="A13" s="63"/>
      <c r="B13" s="287"/>
      <c r="C13" s="292"/>
      <c r="D13" s="293"/>
      <c r="E13" s="293"/>
      <c r="F13" s="293"/>
      <c r="G13" s="293"/>
      <c r="H13" s="293"/>
      <c r="I13" s="294"/>
      <c r="J13" s="169"/>
      <c r="K13" s="64"/>
      <c r="L13" s="63"/>
    </row>
    <row r="14" spans="1:12" ht="42" customHeight="1" thickBot="1" x14ac:dyDescent="0.3">
      <c r="A14" s="63"/>
      <c r="B14" s="288"/>
      <c r="C14" s="295"/>
      <c r="D14" s="296"/>
      <c r="E14" s="296"/>
      <c r="F14" s="296"/>
      <c r="G14" s="296"/>
      <c r="H14" s="296"/>
      <c r="I14" s="297"/>
      <c r="J14" s="169"/>
      <c r="K14" s="64"/>
      <c r="L14" s="63"/>
    </row>
    <row r="15" spans="1:12" ht="90" customHeight="1" thickBot="1" x14ac:dyDescent="0.3">
      <c r="A15" s="63"/>
      <c r="B15" s="170" t="s">
        <v>57</v>
      </c>
      <c r="C15" s="298" t="s">
        <v>58</v>
      </c>
      <c r="D15" s="299"/>
      <c r="E15" s="299"/>
      <c r="F15" s="299"/>
      <c r="G15" s="299"/>
      <c r="H15" s="299"/>
      <c r="I15" s="300"/>
      <c r="J15" s="169"/>
      <c r="K15" s="64"/>
      <c r="L15" s="63"/>
    </row>
    <row r="16" spans="1:12" ht="48.75" customHeight="1" x14ac:dyDescent="0.25">
      <c r="A16" s="63"/>
      <c r="B16" s="286" t="s">
        <v>59</v>
      </c>
      <c r="C16" s="289" t="s">
        <v>60</v>
      </c>
      <c r="D16" s="290"/>
      <c r="E16" s="290"/>
      <c r="F16" s="290"/>
      <c r="G16" s="290"/>
      <c r="H16" s="290"/>
      <c r="I16" s="291"/>
      <c r="J16" s="169"/>
      <c r="K16" s="64"/>
      <c r="L16" s="63"/>
    </row>
    <row r="17" spans="1:21" ht="38.25" customHeight="1" thickBot="1" x14ac:dyDescent="0.3">
      <c r="A17" s="63"/>
      <c r="B17" s="288"/>
      <c r="C17" s="295"/>
      <c r="D17" s="296"/>
      <c r="E17" s="296"/>
      <c r="F17" s="296"/>
      <c r="G17" s="296"/>
      <c r="H17" s="296"/>
      <c r="I17" s="297"/>
      <c r="J17" s="169"/>
      <c r="K17" s="64"/>
      <c r="L17" s="63"/>
    </row>
    <row r="18" spans="1:21" ht="15" customHeight="1" x14ac:dyDescent="0.25">
      <c r="A18" s="63"/>
      <c r="B18" s="286" t="s">
        <v>61</v>
      </c>
      <c r="C18" s="289" t="s">
        <v>62</v>
      </c>
      <c r="D18" s="290"/>
      <c r="E18" s="290"/>
      <c r="F18" s="290"/>
      <c r="G18" s="290"/>
      <c r="H18" s="290"/>
      <c r="I18" s="291"/>
      <c r="J18" s="169"/>
      <c r="K18" s="64"/>
      <c r="L18" s="63"/>
    </row>
    <row r="19" spans="1:21" ht="59.25" customHeight="1" x14ac:dyDescent="0.25">
      <c r="A19" s="63"/>
      <c r="B19" s="287"/>
      <c r="C19" s="292"/>
      <c r="D19" s="293"/>
      <c r="E19" s="293"/>
      <c r="F19" s="293"/>
      <c r="G19" s="293"/>
      <c r="H19" s="293"/>
      <c r="I19" s="294"/>
      <c r="J19" s="169"/>
      <c r="K19" s="64"/>
      <c r="L19" s="63"/>
    </row>
    <row r="20" spans="1:21" ht="39" customHeight="1" thickBot="1" x14ac:dyDescent="0.3">
      <c r="A20" s="63"/>
      <c r="B20" s="288"/>
      <c r="C20" s="295"/>
      <c r="D20" s="296"/>
      <c r="E20" s="296"/>
      <c r="F20" s="296"/>
      <c r="G20" s="296"/>
      <c r="H20" s="296"/>
      <c r="I20" s="297"/>
      <c r="J20" s="169"/>
      <c r="K20" s="64"/>
      <c r="L20" s="63"/>
    </row>
    <row r="21" spans="1:21" ht="90" customHeight="1" x14ac:dyDescent="0.25">
      <c r="A21" s="63"/>
      <c r="B21" s="286" t="s">
        <v>63</v>
      </c>
      <c r="C21" s="289" t="s">
        <v>64</v>
      </c>
      <c r="D21" s="290"/>
      <c r="E21" s="290"/>
      <c r="F21" s="290"/>
      <c r="G21" s="290"/>
      <c r="H21" s="290"/>
      <c r="I21" s="291"/>
      <c r="J21" s="169"/>
      <c r="K21" s="64"/>
      <c r="L21" s="63"/>
    </row>
    <row r="22" spans="1:21" ht="54.75" customHeight="1" x14ac:dyDescent="0.25">
      <c r="A22" s="63"/>
      <c r="B22" s="287"/>
      <c r="C22" s="292"/>
      <c r="D22" s="293"/>
      <c r="E22" s="293"/>
      <c r="F22" s="293"/>
      <c r="G22" s="293"/>
      <c r="H22" s="293"/>
      <c r="I22" s="294"/>
      <c r="J22" s="169"/>
      <c r="K22" s="64"/>
      <c r="L22" s="63"/>
    </row>
    <row r="23" spans="1:21" ht="65.25" customHeight="1" x14ac:dyDescent="0.25">
      <c r="A23" s="63"/>
      <c r="B23" s="287"/>
      <c r="C23" s="292"/>
      <c r="D23" s="293"/>
      <c r="E23" s="293"/>
      <c r="F23" s="293"/>
      <c r="G23" s="293"/>
      <c r="H23" s="293"/>
      <c r="I23" s="294"/>
      <c r="J23" s="169"/>
      <c r="K23" s="64"/>
      <c r="L23" s="63"/>
    </row>
    <row r="24" spans="1:21" ht="55.5" customHeight="1" thickBot="1" x14ac:dyDescent="0.3">
      <c r="A24" s="63"/>
      <c r="B24" s="287"/>
      <c r="C24" s="292"/>
      <c r="D24" s="293"/>
      <c r="E24" s="293"/>
      <c r="F24" s="293"/>
      <c r="G24" s="293"/>
      <c r="H24" s="293"/>
      <c r="I24" s="294"/>
      <c r="J24" s="169"/>
      <c r="K24" s="64"/>
      <c r="L24" s="63"/>
    </row>
    <row r="25" spans="1:21" ht="57" customHeight="1" thickBot="1" x14ac:dyDescent="0.3">
      <c r="A25" s="63"/>
      <c r="B25" s="171" t="s">
        <v>65</v>
      </c>
      <c r="C25" s="298" t="s">
        <v>66</v>
      </c>
      <c r="D25" s="299"/>
      <c r="E25" s="299"/>
      <c r="F25" s="299"/>
      <c r="G25" s="299"/>
      <c r="H25" s="299"/>
      <c r="I25" s="300"/>
      <c r="J25" s="169"/>
      <c r="K25" s="64"/>
      <c r="L25" s="63"/>
    </row>
    <row r="26" spans="1:21" ht="24.75" customHeight="1" x14ac:dyDescent="0.25">
      <c r="A26" s="63"/>
      <c r="B26" s="286" t="s">
        <v>67</v>
      </c>
      <c r="C26" s="289" t="s">
        <v>68</v>
      </c>
      <c r="D26" s="290"/>
      <c r="E26" s="290"/>
      <c r="F26" s="290"/>
      <c r="G26" s="290"/>
      <c r="H26" s="290"/>
      <c r="I26" s="291"/>
      <c r="J26" s="169"/>
      <c r="K26" s="64"/>
      <c r="L26" s="63"/>
    </row>
    <row r="27" spans="1:21" ht="54.95" customHeight="1" thickBot="1" x14ac:dyDescent="0.3">
      <c r="A27" s="63"/>
      <c r="B27" s="288"/>
      <c r="C27" s="292"/>
      <c r="D27" s="293"/>
      <c r="E27" s="293"/>
      <c r="F27" s="293"/>
      <c r="G27" s="293"/>
      <c r="H27" s="293"/>
      <c r="I27" s="294"/>
      <c r="J27" s="169"/>
      <c r="K27" s="64"/>
      <c r="L27" s="63"/>
    </row>
    <row r="28" spans="1:21" ht="30" customHeight="1" x14ac:dyDescent="0.25">
      <c r="A28" s="63"/>
      <c r="B28" s="286" t="s">
        <v>69</v>
      </c>
      <c r="C28" s="289" t="s">
        <v>70</v>
      </c>
      <c r="D28" s="290"/>
      <c r="E28" s="290"/>
      <c r="F28" s="290"/>
      <c r="G28" s="290"/>
      <c r="H28" s="290"/>
      <c r="I28" s="291"/>
      <c r="J28" s="169"/>
      <c r="K28" s="75"/>
      <c r="L28" s="75"/>
      <c r="M28" s="75"/>
      <c r="N28" s="75"/>
      <c r="O28" s="75"/>
      <c r="P28" s="75"/>
      <c r="Q28" s="75"/>
      <c r="R28" s="75"/>
      <c r="S28" s="75"/>
      <c r="T28" s="75"/>
      <c r="U28" s="63"/>
    </row>
    <row r="29" spans="1:21" ht="42.75" customHeight="1" thickBot="1" x14ac:dyDescent="0.3">
      <c r="A29" s="63"/>
      <c r="B29" s="288"/>
      <c r="C29" s="295"/>
      <c r="D29" s="296"/>
      <c r="E29" s="296"/>
      <c r="F29" s="296"/>
      <c r="G29" s="296"/>
      <c r="H29" s="296"/>
      <c r="I29" s="297"/>
      <c r="J29" s="169"/>
      <c r="K29" s="75"/>
      <c r="L29" s="75"/>
      <c r="M29" s="75"/>
      <c r="N29" s="75"/>
      <c r="O29" s="75"/>
      <c r="P29" s="75"/>
      <c r="Q29" s="75"/>
      <c r="R29" s="75"/>
      <c r="S29" s="75"/>
      <c r="T29" s="75"/>
      <c r="U29" s="63"/>
    </row>
    <row r="30" spans="1:21" ht="59.25" customHeight="1" thickBot="1" x14ac:dyDescent="0.3">
      <c r="A30" s="63"/>
      <c r="B30" s="171" t="s">
        <v>71</v>
      </c>
      <c r="C30" s="298" t="s">
        <v>72</v>
      </c>
      <c r="D30" s="299"/>
      <c r="E30" s="299"/>
      <c r="F30" s="299"/>
      <c r="G30" s="299"/>
      <c r="H30" s="299"/>
      <c r="I30" s="300"/>
      <c r="J30" s="169"/>
      <c r="K30" s="75"/>
      <c r="L30" s="75"/>
      <c r="M30" s="75"/>
      <c r="N30" s="75"/>
      <c r="O30" s="75"/>
      <c r="P30" s="75"/>
      <c r="Q30" s="75"/>
      <c r="R30" s="75"/>
      <c r="S30" s="75"/>
      <c r="T30" s="75"/>
      <c r="U30" s="63"/>
    </row>
    <row r="31" spans="1:21" ht="15" customHeight="1" x14ac:dyDescent="0.25">
      <c r="A31" s="63"/>
      <c r="B31" s="286" t="s">
        <v>73</v>
      </c>
      <c r="C31" s="289" t="s">
        <v>74</v>
      </c>
      <c r="D31" s="290"/>
      <c r="E31" s="290"/>
      <c r="F31" s="290"/>
      <c r="G31" s="290"/>
      <c r="H31" s="290"/>
      <c r="I31" s="291"/>
      <c r="J31" s="169"/>
      <c r="K31" s="75"/>
      <c r="L31" s="75"/>
      <c r="M31" s="75"/>
      <c r="N31" s="75"/>
      <c r="O31" s="75"/>
      <c r="P31" s="75"/>
      <c r="Q31" s="75"/>
      <c r="R31" s="75"/>
      <c r="S31" s="75"/>
      <c r="T31" s="75"/>
      <c r="U31" s="63"/>
    </row>
    <row r="32" spans="1:21" ht="15" customHeight="1" x14ac:dyDescent="0.25">
      <c r="A32" s="63"/>
      <c r="B32" s="287"/>
      <c r="C32" s="292"/>
      <c r="D32" s="293"/>
      <c r="E32" s="293"/>
      <c r="F32" s="293"/>
      <c r="G32" s="293"/>
      <c r="H32" s="293"/>
      <c r="I32" s="294"/>
      <c r="J32" s="169"/>
      <c r="K32" s="75"/>
      <c r="L32" s="75"/>
      <c r="M32" s="75"/>
      <c r="N32" s="75"/>
      <c r="O32" s="75"/>
      <c r="P32" s="75"/>
      <c r="Q32" s="75"/>
      <c r="R32" s="75"/>
      <c r="S32" s="75"/>
      <c r="T32" s="75"/>
      <c r="U32" s="63"/>
    </row>
    <row r="33" spans="1:21" ht="15" customHeight="1" x14ac:dyDescent="0.25">
      <c r="A33" s="63"/>
      <c r="B33" s="287"/>
      <c r="C33" s="292"/>
      <c r="D33" s="293"/>
      <c r="E33" s="293"/>
      <c r="F33" s="293"/>
      <c r="G33" s="293"/>
      <c r="H33" s="293"/>
      <c r="I33" s="294"/>
      <c r="J33" s="169"/>
      <c r="K33" s="75"/>
      <c r="L33" s="75"/>
      <c r="M33" s="75"/>
      <c r="N33" s="75"/>
      <c r="O33" s="75"/>
      <c r="P33" s="75"/>
      <c r="Q33" s="75"/>
      <c r="R33" s="75"/>
      <c r="S33" s="75"/>
      <c r="T33" s="75"/>
      <c r="U33" s="63"/>
    </row>
    <row r="34" spans="1:21" ht="50.25" customHeight="1" thickBot="1" x14ac:dyDescent="0.3">
      <c r="A34" s="63"/>
      <c r="B34" s="288"/>
      <c r="C34" s="295"/>
      <c r="D34" s="296"/>
      <c r="E34" s="296"/>
      <c r="F34" s="296"/>
      <c r="G34" s="296"/>
      <c r="H34" s="296"/>
      <c r="I34" s="297"/>
      <c r="J34" s="169"/>
      <c r="K34" s="75"/>
      <c r="L34" s="75"/>
      <c r="M34" s="75"/>
      <c r="N34" s="75"/>
      <c r="O34" s="75"/>
      <c r="P34" s="75"/>
      <c r="Q34" s="75"/>
      <c r="R34" s="75"/>
      <c r="S34" s="75"/>
      <c r="T34" s="75"/>
      <c r="U34" s="63"/>
    </row>
    <row r="35" spans="1:21" ht="41.25" customHeight="1" thickBot="1" x14ac:dyDescent="0.3">
      <c r="A35" s="63"/>
      <c r="B35" s="171" t="s">
        <v>75</v>
      </c>
      <c r="C35" s="298" t="s">
        <v>76</v>
      </c>
      <c r="D35" s="299"/>
      <c r="E35" s="299"/>
      <c r="F35" s="299"/>
      <c r="G35" s="299"/>
      <c r="H35" s="299"/>
      <c r="I35" s="300"/>
      <c r="J35" s="169"/>
      <c r="K35" s="75"/>
      <c r="L35" s="63"/>
      <c r="M35" s="63"/>
      <c r="N35" s="63"/>
      <c r="O35" s="63"/>
      <c r="P35" s="63"/>
      <c r="Q35" s="63"/>
      <c r="R35" s="63"/>
      <c r="S35" s="63"/>
      <c r="U35" s="63"/>
    </row>
    <row r="36" spans="1:21" ht="51.75" customHeight="1" thickBot="1" x14ac:dyDescent="0.3">
      <c r="A36" s="63"/>
      <c r="B36" s="170" t="s">
        <v>77</v>
      </c>
      <c r="C36" s="298" t="s">
        <v>78</v>
      </c>
      <c r="D36" s="299"/>
      <c r="E36" s="299"/>
      <c r="F36" s="299"/>
      <c r="G36" s="299"/>
      <c r="H36" s="299"/>
      <c r="I36" s="300"/>
      <c r="J36" s="169"/>
      <c r="K36" s="75"/>
      <c r="L36" s="63"/>
      <c r="M36" s="63"/>
      <c r="N36" s="63"/>
      <c r="O36" s="63"/>
      <c r="P36" s="63"/>
      <c r="Q36" s="63"/>
      <c r="R36" s="63"/>
      <c r="S36" s="63"/>
      <c r="T36" s="63"/>
      <c r="U36" s="63"/>
    </row>
    <row r="37" spans="1:21" ht="15" customHeight="1" x14ac:dyDescent="0.25">
      <c r="A37" s="63"/>
      <c r="B37" s="286" t="s">
        <v>79</v>
      </c>
      <c r="C37" s="289" t="s">
        <v>80</v>
      </c>
      <c r="D37" s="290"/>
      <c r="E37" s="290"/>
      <c r="F37" s="290"/>
      <c r="G37" s="290"/>
      <c r="H37" s="290"/>
      <c r="I37" s="291"/>
      <c r="J37" s="169"/>
      <c r="K37" s="75"/>
      <c r="L37" s="63"/>
      <c r="M37" s="63"/>
      <c r="N37" s="63"/>
      <c r="O37" s="63"/>
      <c r="P37" s="63"/>
      <c r="Q37" s="63"/>
      <c r="R37" s="63"/>
      <c r="S37" s="63"/>
      <c r="T37" s="63"/>
      <c r="U37" s="63"/>
    </row>
    <row r="38" spans="1:21" ht="39" customHeight="1" x14ac:dyDescent="0.25">
      <c r="A38" s="63"/>
      <c r="B38" s="287"/>
      <c r="C38" s="292"/>
      <c r="D38" s="293"/>
      <c r="E38" s="293"/>
      <c r="F38" s="293"/>
      <c r="G38" s="293"/>
      <c r="H38" s="293"/>
      <c r="I38" s="294"/>
      <c r="J38" s="169"/>
      <c r="K38" s="63"/>
      <c r="L38" s="63"/>
      <c r="M38" s="63"/>
      <c r="N38" s="63"/>
      <c r="O38" s="63"/>
      <c r="P38" s="63"/>
      <c r="Q38" s="63"/>
      <c r="R38" s="63"/>
      <c r="S38" s="63"/>
      <c r="T38" s="63"/>
      <c r="U38" s="63"/>
    </row>
    <row r="39" spans="1:21" ht="27" customHeight="1" x14ac:dyDescent="0.25">
      <c r="A39" s="63"/>
      <c r="B39" s="287"/>
      <c r="C39" s="292"/>
      <c r="D39" s="293"/>
      <c r="E39" s="293"/>
      <c r="F39" s="293"/>
      <c r="G39" s="293"/>
      <c r="H39" s="293"/>
      <c r="I39" s="294"/>
      <c r="J39" s="169"/>
      <c r="K39" s="63"/>
      <c r="L39" s="63"/>
      <c r="M39" s="63"/>
      <c r="N39" s="63"/>
      <c r="O39" s="63"/>
      <c r="P39" s="63"/>
      <c r="Q39" s="63"/>
      <c r="R39" s="63"/>
      <c r="S39" s="63"/>
      <c r="T39" s="63"/>
      <c r="U39" s="63"/>
    </row>
    <row r="40" spans="1:21" ht="24.75" customHeight="1" thickBot="1" x14ac:dyDescent="0.3">
      <c r="A40" s="63"/>
      <c r="B40" s="288"/>
      <c r="C40" s="295"/>
      <c r="D40" s="296"/>
      <c r="E40" s="296"/>
      <c r="F40" s="296"/>
      <c r="G40" s="296"/>
      <c r="H40" s="296"/>
      <c r="I40" s="297"/>
      <c r="J40" s="169"/>
      <c r="K40" s="63"/>
      <c r="L40" s="63"/>
      <c r="M40" s="63"/>
      <c r="N40" s="63"/>
      <c r="O40" s="63"/>
      <c r="P40" s="63"/>
      <c r="Q40" s="63"/>
      <c r="R40" s="63"/>
      <c r="S40" s="63"/>
      <c r="T40" s="63"/>
      <c r="U40" s="63"/>
    </row>
    <row r="41" spans="1:21" ht="36.75" customHeight="1" x14ac:dyDescent="0.25">
      <c r="A41" s="63"/>
      <c r="B41" s="75"/>
      <c r="C41" s="75"/>
      <c r="D41" s="75"/>
      <c r="E41" s="75"/>
      <c r="F41" s="75"/>
      <c r="G41" s="75"/>
      <c r="H41" s="75"/>
      <c r="I41" s="75"/>
      <c r="J41" s="75"/>
      <c r="K41" s="63"/>
      <c r="L41" s="63"/>
      <c r="M41" s="63"/>
      <c r="N41" s="63"/>
      <c r="O41" s="63"/>
      <c r="P41" s="63"/>
      <c r="Q41" s="63"/>
      <c r="R41" s="63"/>
      <c r="S41" s="63"/>
      <c r="T41" s="63"/>
      <c r="U41" s="63"/>
    </row>
    <row r="42" spans="1:21" ht="15" customHeight="1" x14ac:dyDescent="0.25">
      <c r="A42" s="63"/>
      <c r="B42" s="63"/>
      <c r="C42" s="63"/>
      <c r="D42" s="63"/>
      <c r="E42" s="63"/>
      <c r="F42" s="63"/>
      <c r="G42" s="63"/>
      <c r="H42" s="63"/>
      <c r="I42" s="63"/>
      <c r="J42" s="63"/>
      <c r="K42" s="63"/>
      <c r="U42" s="63"/>
    </row>
    <row r="43" spans="1:21" ht="15" customHeight="1" x14ac:dyDescent="0.25">
      <c r="A43" s="63"/>
      <c r="B43" s="63"/>
      <c r="C43" s="63"/>
      <c r="D43" s="63"/>
      <c r="E43" s="63"/>
      <c r="F43" s="63"/>
      <c r="G43" s="63"/>
      <c r="H43" s="63"/>
      <c r="I43" s="63"/>
      <c r="J43" s="63"/>
      <c r="K43" s="63"/>
      <c r="U43" s="63"/>
    </row>
    <row r="44" spans="1:21" ht="15" customHeight="1" x14ac:dyDescent="0.25">
      <c r="A44" s="63"/>
      <c r="B44" s="63"/>
      <c r="C44" s="63"/>
      <c r="D44" s="63"/>
      <c r="E44" s="63"/>
      <c r="F44" s="63"/>
      <c r="G44" s="63"/>
      <c r="H44" s="63"/>
      <c r="I44" s="63"/>
      <c r="J44" s="63"/>
      <c r="K44" s="63"/>
      <c r="U44" s="63"/>
    </row>
    <row r="45" spans="1:21" ht="15" customHeight="1" x14ac:dyDescent="0.25">
      <c r="A45" s="63"/>
      <c r="B45" s="63"/>
      <c r="C45" s="63"/>
      <c r="D45" s="63"/>
      <c r="E45" s="63"/>
      <c r="F45" s="63"/>
      <c r="G45" s="63"/>
      <c r="H45" s="63"/>
      <c r="I45" s="63"/>
      <c r="J45" s="63"/>
    </row>
    <row r="46" spans="1:21" ht="15" customHeight="1" x14ac:dyDescent="0.25">
      <c r="A46" s="63"/>
      <c r="B46" s="63"/>
      <c r="C46" s="63"/>
      <c r="D46" s="63"/>
      <c r="E46" s="63"/>
      <c r="F46" s="63"/>
      <c r="G46" s="63"/>
      <c r="H46" s="63"/>
      <c r="I46" s="63"/>
      <c r="J46" s="63"/>
    </row>
    <row r="47" spans="1:21" ht="15" customHeight="1" x14ac:dyDescent="0.25">
      <c r="A47" s="63"/>
      <c r="B47" s="63"/>
      <c r="C47" s="63"/>
      <c r="D47" s="63"/>
      <c r="E47" s="63"/>
      <c r="F47" s="63"/>
      <c r="G47" s="63"/>
      <c r="H47" s="63"/>
      <c r="I47" s="63"/>
      <c r="J47" s="63"/>
    </row>
    <row r="48" spans="1:21" ht="15" customHeight="1" x14ac:dyDescent="0.25">
      <c r="A48" s="63"/>
      <c r="B48" s="63"/>
      <c r="C48" s="63"/>
      <c r="D48" s="63"/>
      <c r="E48" s="63"/>
      <c r="F48" s="63"/>
      <c r="G48" s="63"/>
      <c r="H48" s="63"/>
      <c r="I48" s="63"/>
      <c r="J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C15:I15"/>
    <mergeCell ref="B7:I7"/>
    <mergeCell ref="B9:I9"/>
    <mergeCell ref="C11:I11"/>
    <mergeCell ref="B12:B14"/>
    <mergeCell ref="C12:I14"/>
    <mergeCell ref="C30:I30"/>
    <mergeCell ref="B16:B17"/>
    <mergeCell ref="C16:I17"/>
    <mergeCell ref="B18:B20"/>
    <mergeCell ref="C18:I20"/>
    <mergeCell ref="B21:B24"/>
    <mergeCell ref="C21:I24"/>
    <mergeCell ref="C25:I25"/>
    <mergeCell ref="B26:B27"/>
    <mergeCell ref="C26:I27"/>
    <mergeCell ref="B28:B29"/>
    <mergeCell ref="C28:I29"/>
    <mergeCell ref="B31:B34"/>
    <mergeCell ref="C31:I34"/>
    <mergeCell ref="C35:I35"/>
    <mergeCell ref="C36:I36"/>
    <mergeCell ref="B37:B40"/>
    <mergeCell ref="C37:I40"/>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topLeftCell="A16" zoomScaleSheetLayoutView="100" workbookViewId="0">
      <selection activeCell="B9" sqref="B9:I9"/>
    </sheetView>
  </sheetViews>
  <sheetFormatPr baseColWidth="10" defaultColWidth="10.85546875" defaultRowHeight="15.75" x14ac:dyDescent="0.25"/>
  <cols>
    <col min="1" max="1" width="2.85546875" style="57" customWidth="1"/>
    <col min="2" max="2" width="18.140625" style="57" customWidth="1"/>
    <col min="3" max="6" width="10.85546875" style="57"/>
    <col min="7" max="7" width="17.85546875" style="57" customWidth="1"/>
    <col min="8" max="8" width="3.140625" style="57" customWidth="1"/>
    <col min="9" max="9" width="3.42578125" style="57" customWidth="1"/>
    <col min="10" max="10" width="37.85546875" style="57" customWidth="1"/>
    <col min="11" max="11" width="15.28515625" style="57" customWidth="1"/>
    <col min="12" max="14" width="10.85546875" style="57"/>
    <col min="15" max="15" width="11.42578125" style="57" customWidth="1"/>
    <col min="16" max="17" width="10.85546875" style="57"/>
    <col min="18" max="18" width="17.85546875" style="57" customWidth="1"/>
    <col min="19" max="19" width="3.28515625" style="57" customWidth="1"/>
    <col min="20" max="16384" width="10.85546875" style="57"/>
  </cols>
  <sheetData>
    <row r="1" spans="1:11" x14ac:dyDescent="0.25">
      <c r="A1" s="58"/>
      <c r="B1" s="58"/>
      <c r="C1" s="58"/>
      <c r="D1" s="58"/>
      <c r="E1" s="58"/>
      <c r="F1" s="58"/>
      <c r="G1" s="58"/>
      <c r="H1" s="58"/>
      <c r="I1" s="58"/>
      <c r="J1" s="58"/>
    </row>
    <row r="2" spans="1:11" ht="44.1" customHeight="1" x14ac:dyDescent="0.25">
      <c r="A2" s="58"/>
      <c r="B2" s="58"/>
      <c r="C2" s="58"/>
      <c r="D2" s="58"/>
      <c r="E2" s="58"/>
      <c r="F2" s="58"/>
      <c r="G2" s="58"/>
      <c r="H2" s="58"/>
      <c r="I2" s="58"/>
      <c r="J2" s="58"/>
    </row>
    <row r="3" spans="1:11" ht="18.95" customHeight="1" x14ac:dyDescent="0.3">
      <c r="A3" s="58"/>
      <c r="B3" s="322" t="s">
        <v>51</v>
      </c>
      <c r="C3" s="322"/>
      <c r="D3" s="322"/>
      <c r="E3" s="322"/>
      <c r="F3" s="322"/>
      <c r="G3" s="322"/>
      <c r="H3" s="322"/>
      <c r="I3" s="322"/>
      <c r="J3" s="322"/>
    </row>
    <row r="4" spans="1:11" ht="24.75" customHeight="1" x14ac:dyDescent="0.25">
      <c r="A4" s="58"/>
      <c r="B4" s="323" t="s">
        <v>81</v>
      </c>
      <c r="C4" s="323"/>
      <c r="D4" s="323"/>
      <c r="E4" s="323"/>
      <c r="F4" s="323"/>
      <c r="G4" s="323"/>
      <c r="H4" s="323"/>
      <c r="I4" s="323"/>
      <c r="J4" s="323"/>
      <c r="K4" s="63"/>
    </row>
    <row r="5" spans="1:11" ht="16.5" thickBot="1" x14ac:dyDescent="0.3">
      <c r="A5" s="58"/>
      <c r="B5" s="64"/>
      <c r="C5" s="64"/>
      <c r="D5" s="64"/>
      <c r="E5" s="64"/>
      <c r="F5" s="64"/>
      <c r="G5" s="64"/>
      <c r="H5" s="64"/>
      <c r="I5" s="64"/>
      <c r="J5" s="64"/>
      <c r="K5" s="63"/>
    </row>
    <row r="6" spans="1:11" x14ac:dyDescent="0.25">
      <c r="A6" s="64"/>
      <c r="B6" s="324" t="s">
        <v>82</v>
      </c>
      <c r="C6" s="325"/>
      <c r="D6" s="325"/>
      <c r="E6" s="325"/>
      <c r="F6" s="325"/>
      <c r="G6" s="325"/>
      <c r="H6" s="325"/>
      <c r="I6" s="325"/>
      <c r="J6" s="326"/>
      <c r="K6" s="63"/>
    </row>
    <row r="7" spans="1:11" ht="66.95" customHeight="1" x14ac:dyDescent="0.25">
      <c r="A7" s="64"/>
      <c r="B7" s="327"/>
      <c r="C7" s="328"/>
      <c r="D7" s="328"/>
      <c r="E7" s="328"/>
      <c r="F7" s="328"/>
      <c r="G7" s="328"/>
      <c r="H7" s="328"/>
      <c r="I7" s="328"/>
      <c r="J7" s="329"/>
      <c r="K7" s="63"/>
    </row>
    <row r="8" spans="1:11" ht="35.25" customHeight="1" thickBot="1" x14ac:dyDescent="0.3">
      <c r="A8" s="64"/>
      <c r="B8" s="327"/>
      <c r="C8" s="328"/>
      <c r="D8" s="328"/>
      <c r="E8" s="328"/>
      <c r="F8" s="328"/>
      <c r="G8" s="328"/>
      <c r="H8" s="328"/>
      <c r="I8" s="328"/>
      <c r="J8" s="329"/>
      <c r="K8" s="63"/>
    </row>
    <row r="9" spans="1:11" ht="32.25" customHeight="1" thickBot="1" x14ac:dyDescent="0.3">
      <c r="A9" s="64"/>
      <c r="B9" s="66"/>
      <c r="C9" s="330" t="s">
        <v>83</v>
      </c>
      <c r="D9" s="331"/>
      <c r="E9" s="331"/>
      <c r="F9" s="332"/>
      <c r="G9" s="65" t="s">
        <v>84</v>
      </c>
      <c r="H9" s="64"/>
      <c r="I9" s="64"/>
      <c r="J9" s="67"/>
      <c r="K9" s="63"/>
    </row>
    <row r="10" spans="1:11" ht="81.95" customHeight="1" thickBot="1" x14ac:dyDescent="0.3">
      <c r="A10" s="64"/>
      <c r="B10" s="66"/>
      <c r="C10" s="298" t="s">
        <v>85</v>
      </c>
      <c r="D10" s="299"/>
      <c r="E10" s="299"/>
      <c r="F10" s="300"/>
      <c r="G10" s="68">
        <v>5</v>
      </c>
      <c r="H10" s="64"/>
      <c r="I10" s="64"/>
      <c r="J10" s="67"/>
      <c r="K10" s="63"/>
    </row>
    <row r="11" spans="1:11" ht="26.25" customHeight="1" x14ac:dyDescent="0.25">
      <c r="A11" s="64"/>
      <c r="B11" s="66"/>
      <c r="C11" s="289" t="s">
        <v>86</v>
      </c>
      <c r="D11" s="290"/>
      <c r="E11" s="290"/>
      <c r="F11" s="291"/>
      <c r="G11" s="303">
        <v>4</v>
      </c>
      <c r="H11" s="64"/>
      <c r="I11" s="64"/>
      <c r="J11" s="67"/>
      <c r="K11" s="63"/>
    </row>
    <row r="12" spans="1:11" ht="38.25" customHeight="1" thickBot="1" x14ac:dyDescent="0.3">
      <c r="A12" s="64"/>
      <c r="B12" s="66"/>
      <c r="C12" s="295"/>
      <c r="D12" s="296"/>
      <c r="E12" s="296"/>
      <c r="F12" s="297"/>
      <c r="G12" s="304"/>
      <c r="H12" s="64"/>
      <c r="I12" s="64"/>
      <c r="J12" s="67"/>
      <c r="K12" s="63"/>
    </row>
    <row r="13" spans="1:11" ht="66.75" customHeight="1" x14ac:dyDescent="0.25">
      <c r="A13" s="64"/>
      <c r="B13" s="66"/>
      <c r="C13" s="289" t="s">
        <v>87</v>
      </c>
      <c r="D13" s="290"/>
      <c r="E13" s="290"/>
      <c r="F13" s="291"/>
      <c r="G13" s="303">
        <v>3</v>
      </c>
      <c r="H13" s="64"/>
      <c r="I13" s="64"/>
      <c r="J13" s="67"/>
      <c r="K13" s="63"/>
    </row>
    <row r="14" spans="1:11" ht="14.1" customHeight="1" thickBot="1" x14ac:dyDescent="0.3">
      <c r="A14" s="64"/>
      <c r="B14" s="66"/>
      <c r="C14" s="295"/>
      <c r="D14" s="296"/>
      <c r="E14" s="296"/>
      <c r="F14" s="297"/>
      <c r="G14" s="304"/>
      <c r="H14" s="64"/>
      <c r="I14" s="64"/>
      <c r="J14" s="67"/>
      <c r="K14" s="63"/>
    </row>
    <row r="15" spans="1:11" ht="51.75" customHeight="1" thickBot="1" x14ac:dyDescent="0.3">
      <c r="A15" s="64"/>
      <c r="B15" s="66"/>
      <c r="C15" s="298" t="s">
        <v>88</v>
      </c>
      <c r="D15" s="299"/>
      <c r="E15" s="299"/>
      <c r="F15" s="300"/>
      <c r="G15" s="68">
        <v>2</v>
      </c>
      <c r="H15" s="64"/>
      <c r="I15" s="64"/>
      <c r="J15" s="67"/>
      <c r="K15" s="63"/>
    </row>
    <row r="16" spans="1:11" ht="61.5" customHeight="1" thickBot="1" x14ac:dyDescent="0.3">
      <c r="A16" s="64"/>
      <c r="B16" s="69"/>
      <c r="C16" s="298" t="s">
        <v>89</v>
      </c>
      <c r="D16" s="299"/>
      <c r="E16" s="299"/>
      <c r="F16" s="300"/>
      <c r="G16" s="68">
        <v>1</v>
      </c>
      <c r="H16" s="101"/>
      <c r="I16" s="101"/>
      <c r="J16" s="102"/>
      <c r="K16" s="63"/>
    </row>
    <row r="17" spans="1:11" ht="63.95" customHeight="1" x14ac:dyDescent="0.25">
      <c r="A17" s="64"/>
      <c r="B17" s="317" t="s">
        <v>90</v>
      </c>
      <c r="C17" s="318"/>
      <c r="D17" s="318"/>
      <c r="E17" s="318"/>
      <c r="F17" s="318"/>
      <c r="G17" s="318"/>
      <c r="H17" s="318"/>
      <c r="I17" s="318"/>
      <c r="J17" s="319"/>
      <c r="K17" s="63"/>
    </row>
    <row r="18" spans="1:11" ht="48.75" customHeight="1" x14ac:dyDescent="0.25">
      <c r="A18" s="64"/>
      <c r="B18" s="70" t="s">
        <v>91</v>
      </c>
      <c r="C18" s="308" t="s">
        <v>92</v>
      </c>
      <c r="D18" s="309"/>
      <c r="E18" s="309"/>
      <c r="F18" s="309"/>
      <c r="G18" s="309"/>
      <c r="H18" s="309"/>
      <c r="I18" s="309"/>
      <c r="J18" s="310"/>
      <c r="K18" s="63"/>
    </row>
    <row r="19" spans="1:11" ht="20.100000000000001" customHeight="1" x14ac:dyDescent="0.25">
      <c r="A19" s="64"/>
      <c r="B19" s="71"/>
      <c r="C19" s="311"/>
      <c r="D19" s="312"/>
      <c r="E19" s="312"/>
      <c r="F19" s="312"/>
      <c r="G19" s="312"/>
      <c r="H19" s="312"/>
      <c r="I19" s="312"/>
      <c r="J19" s="313"/>
      <c r="K19" s="63"/>
    </row>
    <row r="20" spans="1:11" ht="15" customHeight="1" x14ac:dyDescent="0.25">
      <c r="A20" s="64"/>
      <c r="B20" s="320" t="s">
        <v>93</v>
      </c>
      <c r="C20" s="308" t="s">
        <v>94</v>
      </c>
      <c r="D20" s="309"/>
      <c r="E20" s="309"/>
      <c r="F20" s="309"/>
      <c r="G20" s="309"/>
      <c r="H20" s="309"/>
      <c r="I20" s="309"/>
      <c r="J20" s="310"/>
      <c r="K20" s="63"/>
    </row>
    <row r="21" spans="1:11" ht="59.25" customHeight="1" x14ac:dyDescent="0.25">
      <c r="A21" s="64"/>
      <c r="B21" s="321"/>
      <c r="C21" s="311"/>
      <c r="D21" s="312"/>
      <c r="E21" s="312"/>
      <c r="F21" s="312"/>
      <c r="G21" s="312"/>
      <c r="H21" s="312"/>
      <c r="I21" s="312"/>
      <c r="J21" s="313"/>
      <c r="K21" s="63"/>
    </row>
    <row r="22" spans="1:11" ht="75" customHeight="1" x14ac:dyDescent="0.25">
      <c r="A22" s="64"/>
      <c r="B22" s="104" t="s">
        <v>95</v>
      </c>
      <c r="C22" s="305" t="s">
        <v>96</v>
      </c>
      <c r="D22" s="306"/>
      <c r="E22" s="306"/>
      <c r="F22" s="306"/>
      <c r="G22" s="306"/>
      <c r="H22" s="306"/>
      <c r="I22" s="306"/>
      <c r="J22" s="307"/>
      <c r="K22" s="63"/>
    </row>
    <row r="23" spans="1:11" ht="78" customHeight="1" x14ac:dyDescent="0.25">
      <c r="A23" s="64"/>
      <c r="B23" s="72" t="s">
        <v>97</v>
      </c>
      <c r="C23" s="308" t="s">
        <v>98</v>
      </c>
      <c r="D23" s="309"/>
      <c r="E23" s="309"/>
      <c r="F23" s="309"/>
      <c r="G23" s="309"/>
      <c r="H23" s="309"/>
      <c r="I23" s="309"/>
      <c r="J23" s="310"/>
      <c r="K23" s="63"/>
    </row>
    <row r="24" spans="1:11" ht="9" customHeight="1" x14ac:dyDescent="0.25">
      <c r="A24" s="64"/>
      <c r="B24" s="73"/>
      <c r="C24" s="311"/>
      <c r="D24" s="312"/>
      <c r="E24" s="312"/>
      <c r="F24" s="312"/>
      <c r="G24" s="312"/>
      <c r="H24" s="312"/>
      <c r="I24" s="312"/>
      <c r="J24" s="313"/>
      <c r="K24" s="63"/>
    </row>
    <row r="25" spans="1:11" ht="65.25" customHeight="1" x14ac:dyDescent="0.25">
      <c r="A25" s="64"/>
      <c r="B25" s="72" t="s">
        <v>99</v>
      </c>
      <c r="C25" s="308" t="s">
        <v>100</v>
      </c>
      <c r="D25" s="309"/>
      <c r="E25" s="309"/>
      <c r="F25" s="309"/>
      <c r="G25" s="309"/>
      <c r="H25" s="309"/>
      <c r="I25" s="309"/>
      <c r="J25" s="310"/>
      <c r="K25" s="63"/>
    </row>
    <row r="26" spans="1:11" ht="21.95" customHeight="1" thickBot="1" x14ac:dyDescent="0.3">
      <c r="A26" s="64"/>
      <c r="B26" s="74"/>
      <c r="C26" s="314"/>
      <c r="D26" s="315"/>
      <c r="E26" s="315"/>
      <c r="F26" s="315"/>
      <c r="G26" s="315"/>
      <c r="H26" s="315"/>
      <c r="I26" s="315"/>
      <c r="J26" s="316"/>
      <c r="K26" s="63"/>
    </row>
    <row r="27" spans="1:11" ht="57" customHeight="1" x14ac:dyDescent="0.25">
      <c r="A27" s="64"/>
      <c r="B27" s="75"/>
      <c r="C27" s="75"/>
      <c r="D27" s="75"/>
      <c r="E27" s="75"/>
      <c r="F27" s="75"/>
      <c r="G27" s="75"/>
      <c r="H27" s="75"/>
      <c r="I27" s="75"/>
      <c r="J27" s="75"/>
      <c r="K27" s="63"/>
    </row>
    <row r="28" spans="1:11" ht="24.75" customHeight="1" x14ac:dyDescent="0.25">
      <c r="A28" s="64"/>
      <c r="B28" s="75"/>
      <c r="C28" s="75"/>
      <c r="D28" s="75"/>
      <c r="E28" s="75"/>
      <c r="F28" s="75"/>
      <c r="G28" s="75"/>
      <c r="H28" s="75"/>
      <c r="I28" s="75"/>
      <c r="J28" s="75"/>
      <c r="K28" s="63"/>
    </row>
    <row r="29" spans="1:11" ht="102" customHeight="1" x14ac:dyDescent="0.25">
      <c r="A29" s="64"/>
      <c r="B29" s="75"/>
      <c r="C29" s="75"/>
      <c r="D29" s="75"/>
      <c r="E29" s="75"/>
      <c r="F29" s="75"/>
      <c r="G29" s="75"/>
      <c r="H29" s="75"/>
      <c r="I29" s="75"/>
      <c r="J29" s="75"/>
      <c r="K29" s="63"/>
    </row>
    <row r="30" spans="1:11" ht="63" customHeight="1" x14ac:dyDescent="0.25">
      <c r="A30" s="75"/>
      <c r="B30" s="75"/>
      <c r="C30" s="75"/>
      <c r="D30" s="75"/>
      <c r="E30" s="75"/>
      <c r="F30" s="75"/>
      <c r="G30" s="75"/>
      <c r="H30" s="75"/>
      <c r="I30" s="75"/>
      <c r="J30" s="75"/>
      <c r="K30" s="63"/>
    </row>
    <row r="31" spans="1:11" ht="15.75" customHeight="1" x14ac:dyDescent="0.25">
      <c r="A31" s="75"/>
      <c r="B31" s="75"/>
      <c r="C31" s="75"/>
      <c r="D31" s="75"/>
      <c r="E31" s="75"/>
      <c r="F31" s="75"/>
      <c r="G31" s="75"/>
      <c r="H31" s="75"/>
      <c r="I31" s="75"/>
      <c r="J31" s="75"/>
      <c r="K31" s="63"/>
    </row>
    <row r="32" spans="1:11" ht="30" customHeight="1" x14ac:dyDescent="0.25">
      <c r="A32" s="75"/>
      <c r="B32" s="75"/>
      <c r="C32" s="75"/>
      <c r="D32" s="75"/>
      <c r="E32" s="75"/>
      <c r="F32" s="75"/>
      <c r="G32" s="75"/>
      <c r="H32" s="75"/>
      <c r="I32" s="75"/>
      <c r="J32" s="75"/>
      <c r="K32" s="63"/>
    </row>
    <row r="33" spans="1:11" ht="42.75" customHeight="1" x14ac:dyDescent="0.25">
      <c r="A33" s="75"/>
      <c r="B33" s="75"/>
      <c r="C33" s="75"/>
      <c r="D33" s="75"/>
      <c r="E33" s="75"/>
      <c r="F33" s="75"/>
      <c r="G33" s="75"/>
      <c r="H33" s="75"/>
      <c r="I33" s="75"/>
      <c r="J33" s="75"/>
      <c r="K33" s="63"/>
    </row>
    <row r="34" spans="1:11" ht="59.25" customHeight="1" x14ac:dyDescent="0.25">
      <c r="A34" s="75"/>
      <c r="B34" s="75"/>
      <c r="C34" s="75"/>
      <c r="D34" s="75"/>
      <c r="E34" s="75"/>
      <c r="F34" s="75"/>
      <c r="G34" s="75"/>
      <c r="H34" s="75"/>
      <c r="I34" s="75"/>
      <c r="J34" s="75"/>
      <c r="K34" s="63"/>
    </row>
    <row r="35" spans="1:11" ht="15" customHeight="1" x14ac:dyDescent="0.25">
      <c r="A35" s="75"/>
      <c r="B35" s="75"/>
      <c r="C35" s="75"/>
      <c r="D35" s="75"/>
      <c r="E35" s="75"/>
      <c r="F35" s="75"/>
      <c r="G35" s="75"/>
      <c r="H35" s="75"/>
      <c r="I35" s="75"/>
      <c r="J35" s="75"/>
      <c r="K35" s="63"/>
    </row>
    <row r="36" spans="1:11" ht="15" customHeight="1" x14ac:dyDescent="0.25">
      <c r="A36" s="75"/>
      <c r="B36" s="75"/>
      <c r="C36" s="75"/>
      <c r="D36" s="75"/>
      <c r="E36" s="75"/>
      <c r="F36" s="75"/>
      <c r="G36" s="75"/>
      <c r="H36" s="75"/>
      <c r="I36" s="75"/>
      <c r="J36" s="75"/>
      <c r="K36" s="63"/>
    </row>
    <row r="37" spans="1:11" ht="15" customHeight="1" x14ac:dyDescent="0.25">
      <c r="A37" s="75"/>
      <c r="B37" s="75"/>
      <c r="C37" s="75"/>
      <c r="D37" s="75"/>
      <c r="E37" s="75"/>
      <c r="F37" s="75"/>
      <c r="G37" s="75"/>
      <c r="H37" s="75"/>
      <c r="I37" s="75"/>
      <c r="J37" s="75"/>
      <c r="K37" s="63"/>
    </row>
    <row r="38" spans="1:11" ht="50.25" customHeight="1" x14ac:dyDescent="0.25">
      <c r="A38" s="75"/>
      <c r="B38" s="75"/>
      <c r="C38" s="75"/>
      <c r="D38" s="75"/>
      <c r="E38" s="75"/>
      <c r="F38" s="75"/>
      <c r="G38" s="75"/>
      <c r="H38" s="75"/>
      <c r="I38" s="75"/>
      <c r="J38" s="75"/>
      <c r="K38" s="63"/>
    </row>
    <row r="39" spans="1:11" ht="41.25" customHeight="1" x14ac:dyDescent="0.25">
      <c r="A39" s="75"/>
      <c r="B39" s="63"/>
      <c r="C39" s="63"/>
      <c r="D39" s="63"/>
      <c r="E39" s="63"/>
      <c r="F39" s="63"/>
      <c r="G39" s="63"/>
      <c r="H39" s="63"/>
      <c r="I39" s="63"/>
      <c r="K39" s="63"/>
    </row>
    <row r="40" spans="1:11" ht="51.75" customHeight="1" x14ac:dyDescent="0.25">
      <c r="A40" s="75"/>
      <c r="B40" s="63"/>
      <c r="C40" s="63"/>
      <c r="D40" s="63"/>
      <c r="E40" s="63"/>
      <c r="F40" s="63"/>
      <c r="G40" s="63"/>
      <c r="H40" s="63"/>
      <c r="I40" s="63"/>
      <c r="J40" s="63"/>
      <c r="K40" s="63"/>
    </row>
    <row r="41" spans="1:11" ht="15" customHeight="1" x14ac:dyDescent="0.25">
      <c r="A41" s="75"/>
      <c r="B41" s="63"/>
      <c r="C41" s="63"/>
      <c r="D41" s="63"/>
      <c r="E41" s="63"/>
      <c r="F41" s="63"/>
      <c r="G41" s="63"/>
      <c r="H41" s="63"/>
      <c r="I41" s="63"/>
      <c r="J41" s="63"/>
      <c r="K41" s="63"/>
    </row>
    <row r="42" spans="1:11" ht="39" customHeight="1" x14ac:dyDescent="0.25">
      <c r="A42" s="63"/>
      <c r="B42" s="63"/>
      <c r="C42" s="63"/>
      <c r="D42" s="63"/>
      <c r="E42" s="63"/>
      <c r="F42" s="63"/>
      <c r="G42" s="63"/>
      <c r="H42" s="63"/>
      <c r="I42" s="63"/>
      <c r="J42" s="63"/>
      <c r="K42" s="63"/>
    </row>
    <row r="43" spans="1:11" ht="27" customHeight="1" x14ac:dyDescent="0.25">
      <c r="A43" s="63"/>
      <c r="B43" s="63"/>
      <c r="C43" s="63"/>
      <c r="D43" s="63"/>
      <c r="E43" s="63"/>
      <c r="F43" s="63"/>
      <c r="G43" s="63"/>
      <c r="H43" s="63"/>
      <c r="I43" s="63"/>
      <c r="J43" s="63"/>
      <c r="K43" s="63"/>
    </row>
    <row r="44" spans="1:11" ht="24.75" customHeight="1" x14ac:dyDescent="0.25">
      <c r="A44" s="63"/>
      <c r="B44" s="63"/>
      <c r="C44" s="63"/>
      <c r="D44" s="63"/>
      <c r="E44" s="63"/>
      <c r="F44" s="63"/>
      <c r="G44" s="63"/>
      <c r="H44" s="63"/>
      <c r="I44" s="63"/>
      <c r="J44" s="63"/>
      <c r="K44" s="63"/>
    </row>
    <row r="45" spans="1:11" ht="36.75" customHeight="1" x14ac:dyDescent="0.25">
      <c r="A45" s="63"/>
      <c r="B45" s="63"/>
      <c r="C45" s="63"/>
      <c r="D45" s="63"/>
      <c r="E45" s="63"/>
      <c r="F45" s="63"/>
      <c r="G45" s="63"/>
      <c r="H45" s="63"/>
      <c r="I45" s="63"/>
      <c r="J45" s="63"/>
      <c r="K45" s="63"/>
    </row>
    <row r="46" spans="1:11" ht="15" customHeight="1" x14ac:dyDescent="0.25">
      <c r="A46" s="63"/>
      <c r="K46" s="63"/>
    </row>
    <row r="47" spans="1:11" ht="15" customHeight="1" x14ac:dyDescent="0.25">
      <c r="A47" s="63"/>
      <c r="K47" s="63"/>
    </row>
    <row r="48" spans="1:11" ht="15" customHeight="1" x14ac:dyDescent="0.25">
      <c r="A48" s="63"/>
      <c r="K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B3:J3"/>
    <mergeCell ref="B4:J4"/>
    <mergeCell ref="B6:J8"/>
    <mergeCell ref="C10:F10"/>
    <mergeCell ref="C9:F9"/>
    <mergeCell ref="G13:G14"/>
    <mergeCell ref="G11:G12"/>
    <mergeCell ref="C22:J22"/>
    <mergeCell ref="C23:J24"/>
    <mergeCell ref="C25:J26"/>
    <mergeCell ref="C18:J19"/>
    <mergeCell ref="C20:J21"/>
    <mergeCell ref="C11:F12"/>
    <mergeCell ref="C13:F14"/>
    <mergeCell ref="C15:F15"/>
    <mergeCell ref="C16:F16"/>
    <mergeCell ref="B17:J17"/>
    <mergeCell ref="B20:B21"/>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72" t="s">
        <v>101</v>
      </c>
      <c r="C2" s="272"/>
      <c r="D2" s="272"/>
      <c r="E2" s="272"/>
      <c r="F2" s="353"/>
      <c r="G2" s="353"/>
      <c r="H2" s="353"/>
      <c r="I2" s="353"/>
      <c r="J2" s="353"/>
      <c r="K2" s="353"/>
      <c r="L2" s="353"/>
      <c r="M2" s="353"/>
      <c r="N2" s="353"/>
      <c r="O2" s="353"/>
      <c r="P2" s="353"/>
      <c r="Q2" s="353"/>
      <c r="R2" s="353"/>
    </row>
    <row r="3" spans="1:18" x14ac:dyDescent="0.25">
      <c r="B3" s="282" t="s">
        <v>1</v>
      </c>
      <c r="C3" s="282"/>
      <c r="D3" s="282"/>
      <c r="E3" s="282"/>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76" t="s">
        <v>103</v>
      </c>
      <c r="D9" s="5" t="s">
        <v>104</v>
      </c>
      <c r="G9" s="7"/>
    </row>
    <row r="10" spans="1:18" x14ac:dyDescent="0.25">
      <c r="C10" s="276"/>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54" t="s">
        <v>14</v>
      </c>
      <c r="B15" s="355"/>
      <c r="C15" s="355"/>
      <c r="D15" s="355"/>
      <c r="E15" s="355"/>
      <c r="F15" s="355"/>
      <c r="G15" s="355"/>
      <c r="H15" s="356" t="s">
        <v>107</v>
      </c>
      <c r="I15" s="340"/>
      <c r="J15" s="340"/>
      <c r="K15" s="340"/>
      <c r="L15" s="340"/>
      <c r="M15" s="340"/>
      <c r="N15" s="340"/>
      <c r="O15" s="340"/>
      <c r="P15" s="340"/>
      <c r="Q15" s="340"/>
      <c r="R15" s="341"/>
    </row>
    <row r="16" spans="1:18" ht="28.5" customHeight="1" x14ac:dyDescent="0.25">
      <c r="A16" s="91" t="s">
        <v>17</v>
      </c>
      <c r="B16" s="91" t="s">
        <v>18</v>
      </c>
      <c r="C16" s="95" t="s">
        <v>19</v>
      </c>
      <c r="D16" s="91" t="s">
        <v>20</v>
      </c>
      <c r="E16" s="91" t="s">
        <v>108</v>
      </c>
      <c r="F16" s="91" t="s">
        <v>22</v>
      </c>
      <c r="G16" s="32" t="s">
        <v>23</v>
      </c>
      <c r="H16" s="357" t="s">
        <v>109</v>
      </c>
      <c r="I16" s="358"/>
      <c r="J16" s="358"/>
      <c r="K16" s="359"/>
      <c r="L16" s="91" t="s">
        <v>110</v>
      </c>
      <c r="M16" s="360" t="s">
        <v>111</v>
      </c>
      <c r="N16" s="270" t="s">
        <v>112</v>
      </c>
      <c r="O16" s="357" t="s">
        <v>113</v>
      </c>
      <c r="P16" s="359"/>
      <c r="Q16" s="357" t="s">
        <v>16</v>
      </c>
      <c r="R16" s="359"/>
    </row>
    <row r="17" spans="1:18" ht="30" customHeight="1" x14ac:dyDescent="0.25">
      <c r="A17" s="280" t="s">
        <v>26</v>
      </c>
      <c r="B17" s="281">
        <v>0.3</v>
      </c>
      <c r="C17" s="259" t="s">
        <v>27</v>
      </c>
      <c r="D17" s="9" t="s">
        <v>28</v>
      </c>
      <c r="E17" s="259">
        <v>4</v>
      </c>
      <c r="F17" s="259" t="s">
        <v>29</v>
      </c>
      <c r="G17" s="273" t="s">
        <v>30</v>
      </c>
      <c r="H17" s="89" t="s">
        <v>114</v>
      </c>
      <c r="I17" s="89" t="s">
        <v>115</v>
      </c>
      <c r="J17" s="89" t="s">
        <v>116</v>
      </c>
      <c r="K17" s="89" t="s">
        <v>117</v>
      </c>
      <c r="L17" s="8" t="s">
        <v>118</v>
      </c>
      <c r="M17" s="361"/>
      <c r="N17" s="271"/>
      <c r="O17" s="19" t="s">
        <v>119</v>
      </c>
      <c r="P17" s="19" t="s">
        <v>120</v>
      </c>
      <c r="Q17" s="19" t="s">
        <v>24</v>
      </c>
      <c r="R17" s="19" t="s">
        <v>25</v>
      </c>
    </row>
    <row r="18" spans="1:18" ht="45" customHeight="1" x14ac:dyDescent="0.25">
      <c r="A18" s="280"/>
      <c r="B18" s="280"/>
      <c r="C18" s="260"/>
      <c r="D18" s="10" t="s">
        <v>31</v>
      </c>
      <c r="E18" s="260"/>
      <c r="F18" s="260"/>
      <c r="G18" s="273"/>
      <c r="H18" s="342">
        <v>0.25</v>
      </c>
      <c r="I18" s="342">
        <f>1/E17</f>
        <v>0.25</v>
      </c>
      <c r="J18" s="342"/>
      <c r="K18" s="342"/>
      <c r="L18" s="348">
        <f>SUM(H18:K18)</f>
        <v>0.5</v>
      </c>
      <c r="M18" s="348">
        <f>2*B17/E17</f>
        <v>0.15</v>
      </c>
      <c r="N18" s="345" t="s">
        <v>121</v>
      </c>
      <c r="O18" s="345" t="s">
        <v>122</v>
      </c>
      <c r="P18" s="259" t="s">
        <v>123</v>
      </c>
      <c r="Q18" s="345" t="s">
        <v>124</v>
      </c>
      <c r="R18" s="259"/>
    </row>
    <row r="19" spans="1:18" ht="35.25" customHeight="1" x14ac:dyDescent="0.25">
      <c r="A19" s="280"/>
      <c r="B19" s="280"/>
      <c r="C19" s="260"/>
      <c r="D19" s="10" t="s">
        <v>32</v>
      </c>
      <c r="E19" s="260"/>
      <c r="F19" s="260"/>
      <c r="G19" s="273"/>
      <c r="H19" s="351"/>
      <c r="I19" s="343"/>
      <c r="J19" s="343"/>
      <c r="K19" s="343"/>
      <c r="L19" s="349"/>
      <c r="M19" s="349"/>
      <c r="N19" s="346"/>
      <c r="O19" s="346"/>
      <c r="P19" s="260"/>
      <c r="Q19" s="346"/>
      <c r="R19" s="260"/>
    </row>
    <row r="20" spans="1:18" ht="39.75" customHeight="1" x14ac:dyDescent="0.25">
      <c r="A20" s="280"/>
      <c r="B20" s="280"/>
      <c r="C20" s="261"/>
      <c r="D20" s="10" t="s">
        <v>33</v>
      </c>
      <c r="E20" s="261"/>
      <c r="F20" s="261"/>
      <c r="G20" s="273"/>
      <c r="H20" s="352"/>
      <c r="I20" s="344"/>
      <c r="J20" s="344"/>
      <c r="K20" s="344"/>
      <c r="L20" s="350"/>
      <c r="M20" s="350"/>
      <c r="N20" s="347"/>
      <c r="O20" s="347"/>
      <c r="P20" s="261"/>
      <c r="Q20" s="347"/>
      <c r="R20" s="261"/>
    </row>
    <row r="21" spans="1:18" ht="56.25" customHeight="1" x14ac:dyDescent="0.25">
      <c r="A21" s="269" t="s">
        <v>34</v>
      </c>
      <c r="B21" s="266">
        <v>0.4</v>
      </c>
      <c r="C21" s="259" t="s">
        <v>35</v>
      </c>
      <c r="D21" s="10" t="s">
        <v>125</v>
      </c>
      <c r="E21" s="259">
        <v>20</v>
      </c>
      <c r="F21" s="259" t="s">
        <v>37</v>
      </c>
      <c r="G21" s="259" t="s">
        <v>126</v>
      </c>
      <c r="H21" s="342">
        <v>0.08</v>
      </c>
      <c r="I21" s="342">
        <f>7/E21</f>
        <v>0.35</v>
      </c>
      <c r="J21" s="333"/>
      <c r="K21" s="259"/>
      <c r="L21" s="333">
        <f>+H21+I21+J21+K21</f>
        <v>0.43</v>
      </c>
      <c r="M21" s="333">
        <f>9*B21/E21</f>
        <v>0.18</v>
      </c>
      <c r="N21" s="259"/>
      <c r="O21" s="259"/>
      <c r="P21" s="259"/>
      <c r="Q21" s="259"/>
      <c r="R21" s="263"/>
    </row>
    <row r="22" spans="1:18" ht="47.25" customHeight="1" x14ac:dyDescent="0.25">
      <c r="A22" s="270"/>
      <c r="B22" s="267"/>
      <c r="C22" s="260"/>
      <c r="D22" s="10" t="s">
        <v>39</v>
      </c>
      <c r="E22" s="260"/>
      <c r="F22" s="260"/>
      <c r="G22" s="260"/>
      <c r="H22" s="343"/>
      <c r="I22" s="343"/>
      <c r="J22" s="260"/>
      <c r="K22" s="260"/>
      <c r="L22" s="334"/>
      <c r="M22" s="334"/>
      <c r="N22" s="260"/>
      <c r="O22" s="260"/>
      <c r="P22" s="260"/>
      <c r="Q22" s="260"/>
      <c r="R22" s="264"/>
    </row>
    <row r="23" spans="1:18" ht="57" customHeight="1" x14ac:dyDescent="0.25">
      <c r="A23" s="271"/>
      <c r="B23" s="268"/>
      <c r="C23" s="261"/>
      <c r="D23" s="10" t="s">
        <v>41</v>
      </c>
      <c r="E23" s="260"/>
      <c r="F23" s="261"/>
      <c r="G23" s="261"/>
      <c r="H23" s="344"/>
      <c r="I23" s="344"/>
      <c r="J23" s="261"/>
      <c r="K23" s="261"/>
      <c r="L23" s="335"/>
      <c r="M23" s="335"/>
      <c r="N23" s="261"/>
      <c r="O23" s="261"/>
      <c r="P23" s="261"/>
      <c r="Q23" s="261"/>
      <c r="R23" s="265"/>
    </row>
    <row r="24" spans="1:18" ht="55.5" customHeight="1" x14ac:dyDescent="0.25">
      <c r="A24" s="269" t="s">
        <v>43</v>
      </c>
      <c r="B24" s="266">
        <v>0.3</v>
      </c>
      <c r="C24" s="259" t="s">
        <v>44</v>
      </c>
      <c r="D24" s="10" t="s">
        <v>45</v>
      </c>
      <c r="E24" s="259">
        <v>15</v>
      </c>
      <c r="F24" s="259" t="s">
        <v>29</v>
      </c>
      <c r="G24" s="259" t="s">
        <v>42</v>
      </c>
      <c r="H24" s="342">
        <v>0.1</v>
      </c>
      <c r="I24" s="342">
        <f>5/E24</f>
        <v>0.33333333333333331</v>
      </c>
      <c r="J24" s="259"/>
      <c r="K24" s="259"/>
      <c r="L24" s="333">
        <f>+H24+I24+J24+K24</f>
        <v>0.43333333333333335</v>
      </c>
      <c r="M24" s="333">
        <f>8*B24/E24</f>
        <v>0.16</v>
      </c>
      <c r="N24" s="259"/>
      <c r="O24" s="259"/>
      <c r="P24" s="259"/>
      <c r="Q24" s="259"/>
      <c r="R24" s="259"/>
    </row>
    <row r="25" spans="1:18" ht="39.75" customHeight="1" x14ac:dyDescent="0.25">
      <c r="A25" s="270"/>
      <c r="B25" s="267"/>
      <c r="C25" s="260"/>
      <c r="D25" s="10" t="s">
        <v>46</v>
      </c>
      <c r="E25" s="260"/>
      <c r="F25" s="260"/>
      <c r="G25" s="260"/>
      <c r="H25" s="343"/>
      <c r="I25" s="343"/>
      <c r="J25" s="260"/>
      <c r="K25" s="260"/>
      <c r="L25" s="334"/>
      <c r="M25" s="334"/>
      <c r="N25" s="260"/>
      <c r="O25" s="260"/>
      <c r="P25" s="260"/>
      <c r="Q25" s="260"/>
      <c r="R25" s="260"/>
    </row>
    <row r="26" spans="1:18" ht="39" customHeight="1" x14ac:dyDescent="0.25">
      <c r="A26" s="271"/>
      <c r="B26" s="268"/>
      <c r="C26" s="261"/>
      <c r="D26" s="10" t="s">
        <v>47</v>
      </c>
      <c r="E26" s="261"/>
      <c r="F26" s="261"/>
      <c r="G26" s="261"/>
      <c r="H26" s="344"/>
      <c r="I26" s="344"/>
      <c r="J26" s="261"/>
      <c r="K26" s="261"/>
      <c r="L26" s="335"/>
      <c r="M26" s="335"/>
      <c r="N26" s="261"/>
      <c r="O26" s="261"/>
      <c r="P26" s="261"/>
      <c r="Q26" s="261"/>
      <c r="R26" s="261"/>
    </row>
    <row r="27" spans="1:18" ht="33.75" customHeight="1" x14ac:dyDescent="0.25">
      <c r="A27" s="19" t="s">
        <v>48</v>
      </c>
      <c r="B27" s="90">
        <f>SUM(B17:B26)</f>
        <v>1</v>
      </c>
      <c r="C27" s="90"/>
      <c r="D27" s="5"/>
      <c r="E27" s="5"/>
      <c r="F27" s="5"/>
      <c r="G27" s="10"/>
      <c r="H27" s="90">
        <f>SUM(H18:H26)</f>
        <v>0.43000000000000005</v>
      </c>
      <c r="I27" s="90">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55"/>
      <c r="E29" s="256"/>
      <c r="F29" s="336"/>
      <c r="G29" s="337"/>
      <c r="H29" s="338"/>
      <c r="I29" s="21"/>
      <c r="J29" s="21"/>
      <c r="K29" s="21"/>
      <c r="L29" s="21"/>
      <c r="M29" s="21"/>
      <c r="N29" s="21"/>
      <c r="O29" s="21"/>
      <c r="P29" s="21"/>
      <c r="Q29" s="21"/>
      <c r="R29" s="21"/>
    </row>
    <row r="30" spans="1:18" ht="15.75" thickBot="1" x14ac:dyDescent="0.3">
      <c r="A30" s="12"/>
      <c r="D30" s="253" t="s">
        <v>49</v>
      </c>
      <c r="E30" s="254"/>
      <c r="F30" s="93"/>
      <c r="G30" s="254" t="s">
        <v>50</v>
      </c>
      <c r="H30" s="257"/>
      <c r="I30" s="22"/>
      <c r="J30" s="22"/>
      <c r="K30" s="22"/>
      <c r="L30" s="22"/>
      <c r="M30" s="22"/>
      <c r="N30" s="22"/>
      <c r="O30" s="22"/>
      <c r="P30" s="22"/>
      <c r="Q30" s="22"/>
      <c r="R30" s="22"/>
    </row>
    <row r="31" spans="1:18" ht="15.75" thickBot="1" x14ac:dyDescent="0.3">
      <c r="A31" s="12"/>
    </row>
    <row r="32" spans="1:18" ht="15.75" thickBot="1" x14ac:dyDescent="0.3">
      <c r="A32" s="12"/>
      <c r="B32" s="339" t="s">
        <v>127</v>
      </c>
      <c r="C32" s="340"/>
      <c r="D32" s="340"/>
      <c r="E32" s="340"/>
      <c r="F32" s="340"/>
      <c r="G32" s="340"/>
      <c r="H32" s="341"/>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7"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72" t="s">
        <v>101</v>
      </c>
      <c r="C2" s="272"/>
      <c r="D2" s="272"/>
      <c r="E2" s="272"/>
      <c r="F2" s="353"/>
      <c r="G2" s="353"/>
      <c r="H2" s="353"/>
      <c r="I2" s="353"/>
      <c r="J2" s="353"/>
      <c r="K2" s="353"/>
      <c r="L2" s="353"/>
      <c r="M2" s="353"/>
      <c r="N2" s="353"/>
      <c r="O2" s="353"/>
      <c r="P2" s="353"/>
      <c r="Q2" s="353"/>
      <c r="R2" s="353"/>
    </row>
    <row r="3" spans="1:18" x14ac:dyDescent="0.25">
      <c r="B3" s="282" t="s">
        <v>1</v>
      </c>
      <c r="C3" s="282"/>
      <c r="D3" s="282"/>
      <c r="E3" s="282"/>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76" t="s">
        <v>103</v>
      </c>
      <c r="D9" s="5" t="s">
        <v>104</v>
      </c>
      <c r="G9" s="7"/>
    </row>
    <row r="10" spans="1:18" x14ac:dyDescent="0.25">
      <c r="C10" s="276"/>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54" t="s">
        <v>14</v>
      </c>
      <c r="B15" s="355"/>
      <c r="C15" s="355"/>
      <c r="D15" s="355"/>
      <c r="E15" s="355"/>
      <c r="F15" s="355"/>
      <c r="G15" s="355"/>
      <c r="H15" s="356" t="s">
        <v>107</v>
      </c>
      <c r="I15" s="340"/>
      <c r="J15" s="340"/>
      <c r="K15" s="340"/>
      <c r="L15" s="340"/>
      <c r="M15" s="340"/>
      <c r="N15" s="340"/>
      <c r="O15" s="340"/>
      <c r="P15" s="340"/>
      <c r="Q15" s="340"/>
      <c r="R15" s="341"/>
    </row>
    <row r="16" spans="1:18" ht="28.5" customHeight="1" x14ac:dyDescent="0.25">
      <c r="A16" s="91" t="s">
        <v>17</v>
      </c>
      <c r="B16" s="91" t="s">
        <v>18</v>
      </c>
      <c r="C16" s="95" t="s">
        <v>19</v>
      </c>
      <c r="D16" s="91" t="s">
        <v>20</v>
      </c>
      <c r="E16" s="91" t="s">
        <v>108</v>
      </c>
      <c r="F16" s="91" t="s">
        <v>22</v>
      </c>
      <c r="G16" s="32" t="s">
        <v>23</v>
      </c>
      <c r="H16" s="357" t="s">
        <v>109</v>
      </c>
      <c r="I16" s="358"/>
      <c r="J16" s="358"/>
      <c r="K16" s="359"/>
      <c r="L16" s="91" t="s">
        <v>110</v>
      </c>
      <c r="M16" s="360" t="s">
        <v>111</v>
      </c>
      <c r="N16" s="270" t="s">
        <v>112</v>
      </c>
      <c r="O16" s="357" t="s">
        <v>113</v>
      </c>
      <c r="P16" s="359"/>
      <c r="Q16" s="357" t="s">
        <v>16</v>
      </c>
      <c r="R16" s="359"/>
    </row>
    <row r="17" spans="1:18" ht="30" customHeight="1" x14ac:dyDescent="0.25">
      <c r="A17" s="280" t="s">
        <v>26</v>
      </c>
      <c r="B17" s="281">
        <v>0.3</v>
      </c>
      <c r="C17" s="259" t="s">
        <v>27</v>
      </c>
      <c r="D17" s="9" t="s">
        <v>28</v>
      </c>
      <c r="E17" s="259">
        <v>4</v>
      </c>
      <c r="F17" s="259" t="s">
        <v>29</v>
      </c>
      <c r="G17" s="273" t="s">
        <v>30</v>
      </c>
      <c r="H17" s="89" t="s">
        <v>114</v>
      </c>
      <c r="I17" s="89" t="s">
        <v>115</v>
      </c>
      <c r="J17" s="89" t="s">
        <v>116</v>
      </c>
      <c r="K17" s="89" t="s">
        <v>117</v>
      </c>
      <c r="L17" s="8" t="s">
        <v>118</v>
      </c>
      <c r="M17" s="361"/>
      <c r="N17" s="271"/>
      <c r="O17" s="19" t="s">
        <v>119</v>
      </c>
      <c r="P17" s="19" t="s">
        <v>120</v>
      </c>
      <c r="Q17" s="19" t="s">
        <v>24</v>
      </c>
      <c r="R17" s="19" t="s">
        <v>25</v>
      </c>
    </row>
    <row r="18" spans="1:18" ht="45" customHeight="1" x14ac:dyDescent="0.25">
      <c r="A18" s="280"/>
      <c r="B18" s="280"/>
      <c r="C18" s="260"/>
      <c r="D18" s="10" t="s">
        <v>31</v>
      </c>
      <c r="E18" s="260"/>
      <c r="F18" s="260"/>
      <c r="G18" s="273"/>
      <c r="H18" s="342">
        <f>1/E17</f>
        <v>0.25</v>
      </c>
      <c r="I18" s="342">
        <f>+'Seguimiento 2'!I18:I20</f>
        <v>0.25</v>
      </c>
      <c r="J18" s="342">
        <f>2/E17</f>
        <v>0.5</v>
      </c>
      <c r="K18" s="342"/>
      <c r="L18" s="348">
        <f>+H18+I18+J18</f>
        <v>1</v>
      </c>
      <c r="M18" s="348">
        <f>4*B17/E17</f>
        <v>0.3</v>
      </c>
      <c r="N18" s="345" t="s">
        <v>121</v>
      </c>
      <c r="O18" s="345" t="s">
        <v>122</v>
      </c>
      <c r="P18" s="259" t="s">
        <v>123</v>
      </c>
      <c r="Q18" s="345" t="s">
        <v>124</v>
      </c>
      <c r="R18" s="259"/>
    </row>
    <row r="19" spans="1:18" ht="35.25" customHeight="1" x14ac:dyDescent="0.25">
      <c r="A19" s="280"/>
      <c r="B19" s="280"/>
      <c r="C19" s="260"/>
      <c r="D19" s="10" t="s">
        <v>32</v>
      </c>
      <c r="E19" s="260"/>
      <c r="F19" s="260"/>
      <c r="G19" s="273"/>
      <c r="H19" s="343"/>
      <c r="I19" s="343"/>
      <c r="J19" s="343"/>
      <c r="K19" s="343"/>
      <c r="L19" s="349"/>
      <c r="M19" s="349"/>
      <c r="N19" s="346"/>
      <c r="O19" s="346"/>
      <c r="P19" s="260"/>
      <c r="Q19" s="346"/>
      <c r="R19" s="260"/>
    </row>
    <row r="20" spans="1:18" ht="39.75" customHeight="1" x14ac:dyDescent="0.25">
      <c r="A20" s="280"/>
      <c r="B20" s="280"/>
      <c r="C20" s="261"/>
      <c r="D20" s="10" t="s">
        <v>33</v>
      </c>
      <c r="E20" s="261"/>
      <c r="F20" s="261"/>
      <c r="G20" s="273"/>
      <c r="H20" s="344"/>
      <c r="I20" s="344"/>
      <c r="J20" s="344"/>
      <c r="K20" s="344"/>
      <c r="L20" s="350"/>
      <c r="M20" s="350"/>
      <c r="N20" s="347"/>
      <c r="O20" s="347"/>
      <c r="P20" s="261"/>
      <c r="Q20" s="347"/>
      <c r="R20" s="261"/>
    </row>
    <row r="21" spans="1:18" ht="56.25" customHeight="1" x14ac:dyDescent="0.25">
      <c r="A21" s="269" t="s">
        <v>34</v>
      </c>
      <c r="B21" s="266">
        <v>0.4</v>
      </c>
      <c r="C21" s="259" t="s">
        <v>35</v>
      </c>
      <c r="D21" s="10" t="s">
        <v>125</v>
      </c>
      <c r="E21" s="259">
        <v>20</v>
      </c>
      <c r="F21" s="259" t="s">
        <v>37</v>
      </c>
      <c r="G21" s="259" t="s">
        <v>126</v>
      </c>
      <c r="H21" s="342">
        <f>7/25</f>
        <v>0.28000000000000003</v>
      </c>
      <c r="I21" s="333">
        <f>+'Seguimiento 2'!I21:I23</f>
        <v>0.35</v>
      </c>
      <c r="J21" s="342">
        <f>5/E21</f>
        <v>0.25</v>
      </c>
      <c r="K21" s="259"/>
      <c r="L21" s="333">
        <f>+H21+I21+J21+K21</f>
        <v>0.88</v>
      </c>
      <c r="M21" s="333">
        <f>+L21*B21</f>
        <v>0.35200000000000004</v>
      </c>
      <c r="N21" s="259"/>
      <c r="O21" s="259"/>
      <c r="P21" s="259"/>
      <c r="Q21" s="259"/>
      <c r="R21" s="259"/>
    </row>
    <row r="22" spans="1:18" ht="47.25" customHeight="1" x14ac:dyDescent="0.25">
      <c r="A22" s="270"/>
      <c r="B22" s="267"/>
      <c r="C22" s="260"/>
      <c r="D22" s="10" t="s">
        <v>39</v>
      </c>
      <c r="E22" s="260"/>
      <c r="F22" s="260"/>
      <c r="G22" s="260"/>
      <c r="H22" s="343"/>
      <c r="I22" s="260"/>
      <c r="J22" s="343"/>
      <c r="K22" s="260"/>
      <c r="L22" s="334"/>
      <c r="M22" s="334"/>
      <c r="N22" s="260"/>
      <c r="O22" s="260"/>
      <c r="P22" s="260"/>
      <c r="Q22" s="260"/>
      <c r="R22" s="260"/>
    </row>
    <row r="23" spans="1:18" ht="57" customHeight="1" x14ac:dyDescent="0.25">
      <c r="A23" s="271"/>
      <c r="B23" s="268"/>
      <c r="C23" s="261"/>
      <c r="D23" s="10" t="s">
        <v>41</v>
      </c>
      <c r="E23" s="260"/>
      <c r="F23" s="261"/>
      <c r="G23" s="261"/>
      <c r="H23" s="344"/>
      <c r="I23" s="261"/>
      <c r="J23" s="344"/>
      <c r="K23" s="261"/>
      <c r="L23" s="335"/>
      <c r="M23" s="335"/>
      <c r="N23" s="261"/>
      <c r="O23" s="261"/>
      <c r="P23" s="261"/>
      <c r="Q23" s="261"/>
      <c r="R23" s="261"/>
    </row>
    <row r="24" spans="1:18" ht="55.5" customHeight="1" x14ac:dyDescent="0.25">
      <c r="A24" s="269" t="s">
        <v>43</v>
      </c>
      <c r="B24" s="266">
        <v>0.3</v>
      </c>
      <c r="C24" s="259" t="s">
        <v>44</v>
      </c>
      <c r="D24" s="10" t="s">
        <v>45</v>
      </c>
      <c r="E24" s="259">
        <v>15</v>
      </c>
      <c r="F24" s="259" t="s">
        <v>29</v>
      </c>
      <c r="G24" s="259" t="s">
        <v>42</v>
      </c>
      <c r="H24" s="342">
        <f>3/30</f>
        <v>0.1</v>
      </c>
      <c r="I24" s="333">
        <f>+'Seguimiento 2'!I24:I26</f>
        <v>0.33333333333333331</v>
      </c>
      <c r="J24" s="342">
        <f>6/E24</f>
        <v>0.4</v>
      </c>
      <c r="K24" s="259"/>
      <c r="L24" s="333">
        <f>+H24+I24+J24+K24</f>
        <v>0.83333333333333337</v>
      </c>
      <c r="M24" s="333">
        <f>14*B24/E24</f>
        <v>0.28000000000000003</v>
      </c>
      <c r="N24" s="259"/>
      <c r="O24" s="259"/>
      <c r="P24" s="259"/>
      <c r="Q24" s="259"/>
      <c r="R24" s="259"/>
    </row>
    <row r="25" spans="1:18" ht="39.75" customHeight="1" x14ac:dyDescent="0.25">
      <c r="A25" s="270"/>
      <c r="B25" s="267"/>
      <c r="C25" s="260"/>
      <c r="D25" s="10" t="s">
        <v>46</v>
      </c>
      <c r="E25" s="260"/>
      <c r="F25" s="260"/>
      <c r="G25" s="260"/>
      <c r="H25" s="343"/>
      <c r="I25" s="260"/>
      <c r="J25" s="343"/>
      <c r="K25" s="260"/>
      <c r="L25" s="334"/>
      <c r="M25" s="334"/>
      <c r="N25" s="260"/>
      <c r="O25" s="260"/>
      <c r="P25" s="260"/>
      <c r="Q25" s="260"/>
      <c r="R25" s="260"/>
    </row>
    <row r="26" spans="1:18" ht="39" customHeight="1" x14ac:dyDescent="0.25">
      <c r="A26" s="271"/>
      <c r="B26" s="268"/>
      <c r="C26" s="261"/>
      <c r="D26" s="10" t="s">
        <v>47</v>
      </c>
      <c r="E26" s="261"/>
      <c r="F26" s="261"/>
      <c r="G26" s="261"/>
      <c r="H26" s="344"/>
      <c r="I26" s="261"/>
      <c r="J26" s="344"/>
      <c r="K26" s="261"/>
      <c r="L26" s="335"/>
      <c r="M26" s="335"/>
      <c r="N26" s="261"/>
      <c r="O26" s="261"/>
      <c r="P26" s="261"/>
      <c r="Q26" s="261"/>
      <c r="R26" s="261"/>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55"/>
      <c r="E29" s="256"/>
      <c r="F29" s="336"/>
      <c r="G29" s="337"/>
      <c r="H29" s="338"/>
      <c r="I29" s="21"/>
      <c r="J29" s="21"/>
      <c r="K29" s="21"/>
      <c r="L29" s="21"/>
      <c r="M29" s="21"/>
      <c r="N29" s="21"/>
      <c r="O29" s="21"/>
      <c r="P29" s="21"/>
      <c r="Q29" s="21"/>
      <c r="R29" s="21"/>
    </row>
    <row r="30" spans="1:18" ht="15.75" thickBot="1" x14ac:dyDescent="0.3">
      <c r="A30" s="12"/>
      <c r="D30" s="253" t="s">
        <v>49</v>
      </c>
      <c r="E30" s="254"/>
      <c r="F30" s="93"/>
      <c r="G30" s="254" t="s">
        <v>50</v>
      </c>
      <c r="H30" s="257"/>
      <c r="I30" s="22"/>
      <c r="J30" s="22"/>
      <c r="K30" s="22"/>
      <c r="L30" s="22"/>
      <c r="M30" s="22"/>
      <c r="N30" s="22"/>
      <c r="O30" s="22"/>
      <c r="P30" s="22"/>
      <c r="Q30" s="22"/>
      <c r="R30" s="22"/>
    </row>
    <row r="31" spans="1:18" ht="15.75" thickBot="1" x14ac:dyDescent="0.3">
      <c r="A31" s="12"/>
    </row>
    <row r="32" spans="1:18" ht="15.75" thickBot="1" x14ac:dyDescent="0.3">
      <c r="A32" s="12"/>
      <c r="B32" s="339" t="s">
        <v>127</v>
      </c>
      <c r="C32" s="340"/>
      <c r="D32" s="340"/>
      <c r="E32" s="340"/>
      <c r="F32" s="340"/>
      <c r="G32" s="340"/>
      <c r="H32" s="341"/>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6"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72" t="s">
        <v>101</v>
      </c>
      <c r="C2" s="272"/>
      <c r="D2" s="272"/>
      <c r="E2" s="272"/>
      <c r="F2" s="353"/>
      <c r="G2" s="353"/>
      <c r="H2" s="353"/>
      <c r="I2" s="353"/>
      <c r="J2" s="353"/>
      <c r="K2" s="353"/>
      <c r="L2" s="353"/>
      <c r="M2" s="353"/>
      <c r="N2" s="353"/>
      <c r="O2" s="353"/>
      <c r="P2" s="353"/>
      <c r="Q2" s="353"/>
      <c r="R2" s="353"/>
    </row>
    <row r="3" spans="1:18" x14ac:dyDescent="0.25">
      <c r="B3" s="282" t="s">
        <v>1</v>
      </c>
      <c r="C3" s="282"/>
      <c r="D3" s="282"/>
      <c r="E3" s="282"/>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76" t="s">
        <v>103</v>
      </c>
      <c r="D9" s="5" t="s">
        <v>104</v>
      </c>
      <c r="G9" s="7"/>
    </row>
    <row r="10" spans="1:18" x14ac:dyDescent="0.25">
      <c r="C10" s="276"/>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54" t="s">
        <v>14</v>
      </c>
      <c r="B15" s="355"/>
      <c r="C15" s="355"/>
      <c r="D15" s="355"/>
      <c r="E15" s="355"/>
      <c r="F15" s="355"/>
      <c r="G15" s="355"/>
      <c r="H15" s="356" t="s">
        <v>107</v>
      </c>
      <c r="I15" s="340"/>
      <c r="J15" s="340"/>
      <c r="K15" s="340"/>
      <c r="L15" s="340"/>
      <c r="M15" s="340"/>
      <c r="N15" s="340"/>
      <c r="O15" s="340"/>
      <c r="P15" s="340"/>
      <c r="Q15" s="340"/>
      <c r="R15" s="341"/>
    </row>
    <row r="16" spans="1:18" ht="28.5" customHeight="1" x14ac:dyDescent="0.25">
      <c r="A16" s="91" t="s">
        <v>17</v>
      </c>
      <c r="B16" s="91" t="s">
        <v>18</v>
      </c>
      <c r="C16" s="95" t="s">
        <v>19</v>
      </c>
      <c r="D16" s="91" t="s">
        <v>20</v>
      </c>
      <c r="E16" s="91" t="s">
        <v>108</v>
      </c>
      <c r="F16" s="91" t="s">
        <v>22</v>
      </c>
      <c r="G16" s="32" t="s">
        <v>23</v>
      </c>
      <c r="H16" s="357" t="s">
        <v>109</v>
      </c>
      <c r="I16" s="358"/>
      <c r="J16" s="358"/>
      <c r="K16" s="359"/>
      <c r="L16" s="91" t="s">
        <v>110</v>
      </c>
      <c r="M16" s="360" t="s">
        <v>111</v>
      </c>
      <c r="N16" s="270" t="s">
        <v>112</v>
      </c>
      <c r="O16" s="357" t="s">
        <v>113</v>
      </c>
      <c r="P16" s="359"/>
      <c r="Q16" s="357" t="s">
        <v>16</v>
      </c>
      <c r="R16" s="359"/>
    </row>
    <row r="17" spans="1:18" ht="30" customHeight="1" x14ac:dyDescent="0.25">
      <c r="A17" s="280" t="s">
        <v>26</v>
      </c>
      <c r="B17" s="281">
        <v>0.3</v>
      </c>
      <c r="C17" s="259" t="s">
        <v>27</v>
      </c>
      <c r="D17" s="9" t="s">
        <v>28</v>
      </c>
      <c r="E17" s="259">
        <v>4</v>
      </c>
      <c r="F17" s="259" t="s">
        <v>29</v>
      </c>
      <c r="G17" s="273" t="s">
        <v>30</v>
      </c>
      <c r="H17" s="89" t="s">
        <v>114</v>
      </c>
      <c r="I17" s="89" t="s">
        <v>115</v>
      </c>
      <c r="J17" s="89" t="s">
        <v>116</v>
      </c>
      <c r="K17" s="89" t="s">
        <v>117</v>
      </c>
      <c r="L17" s="8" t="s">
        <v>118</v>
      </c>
      <c r="M17" s="361"/>
      <c r="N17" s="271"/>
      <c r="O17" s="19" t="s">
        <v>119</v>
      </c>
      <c r="P17" s="19" t="s">
        <v>120</v>
      </c>
      <c r="Q17" s="19" t="s">
        <v>24</v>
      </c>
      <c r="R17" s="19" t="s">
        <v>25</v>
      </c>
    </row>
    <row r="18" spans="1:18" ht="45" customHeight="1" x14ac:dyDescent="0.25">
      <c r="A18" s="280"/>
      <c r="B18" s="280"/>
      <c r="C18" s="260"/>
      <c r="D18" s="10" t="s">
        <v>31</v>
      </c>
      <c r="E18" s="260"/>
      <c r="F18" s="260"/>
      <c r="G18" s="273"/>
      <c r="H18" s="342">
        <f>1/E17</f>
        <v>0.25</v>
      </c>
      <c r="I18" s="342">
        <f>+'Seguimiento 2'!I18:I20</f>
        <v>0.25</v>
      </c>
      <c r="J18" s="342">
        <f>+'Seguimiento 3'!J18:J20</f>
        <v>0.5</v>
      </c>
      <c r="K18" s="342">
        <v>0</v>
      </c>
      <c r="L18" s="348">
        <f>+H18+I18+J18+K18</f>
        <v>1</v>
      </c>
      <c r="M18" s="348">
        <f>4*B17/E17</f>
        <v>0.3</v>
      </c>
      <c r="N18" s="345" t="s">
        <v>121</v>
      </c>
      <c r="O18" s="345" t="s">
        <v>122</v>
      </c>
      <c r="P18" s="259" t="s">
        <v>123</v>
      </c>
      <c r="Q18" s="345" t="s">
        <v>124</v>
      </c>
      <c r="R18" s="259"/>
    </row>
    <row r="19" spans="1:18" ht="35.25" customHeight="1" x14ac:dyDescent="0.25">
      <c r="A19" s="280"/>
      <c r="B19" s="280"/>
      <c r="C19" s="260"/>
      <c r="D19" s="10" t="s">
        <v>32</v>
      </c>
      <c r="E19" s="260"/>
      <c r="F19" s="260"/>
      <c r="G19" s="273"/>
      <c r="H19" s="343"/>
      <c r="I19" s="343"/>
      <c r="J19" s="343"/>
      <c r="K19" s="343"/>
      <c r="L19" s="349"/>
      <c r="M19" s="349"/>
      <c r="N19" s="346"/>
      <c r="O19" s="346"/>
      <c r="P19" s="260"/>
      <c r="Q19" s="346"/>
      <c r="R19" s="260"/>
    </row>
    <row r="20" spans="1:18" ht="39.75" customHeight="1" x14ac:dyDescent="0.25">
      <c r="A20" s="280"/>
      <c r="B20" s="280"/>
      <c r="C20" s="261"/>
      <c r="D20" s="10" t="s">
        <v>33</v>
      </c>
      <c r="E20" s="261"/>
      <c r="F20" s="261"/>
      <c r="G20" s="273"/>
      <c r="H20" s="344"/>
      <c r="I20" s="344"/>
      <c r="J20" s="344"/>
      <c r="K20" s="344"/>
      <c r="L20" s="350"/>
      <c r="M20" s="350"/>
      <c r="N20" s="347"/>
      <c r="O20" s="347"/>
      <c r="P20" s="261"/>
      <c r="Q20" s="347"/>
      <c r="R20" s="261"/>
    </row>
    <row r="21" spans="1:18" ht="56.25" customHeight="1" x14ac:dyDescent="0.25">
      <c r="A21" s="269" t="s">
        <v>34</v>
      </c>
      <c r="B21" s="266">
        <v>0.4</v>
      </c>
      <c r="C21" s="259" t="s">
        <v>35</v>
      </c>
      <c r="D21" s="10" t="s">
        <v>125</v>
      </c>
      <c r="E21" s="259">
        <v>20</v>
      </c>
      <c r="F21" s="259" t="s">
        <v>37</v>
      </c>
      <c r="G21" s="259" t="s">
        <v>126</v>
      </c>
      <c r="H21" s="342">
        <f>7/25</f>
        <v>0.28000000000000003</v>
      </c>
      <c r="I21" s="333">
        <f>+'Seguimiento 2'!I21:I23</f>
        <v>0.35</v>
      </c>
      <c r="J21" s="333">
        <f>+'Seguimiento 3'!J21:J23</f>
        <v>0.25</v>
      </c>
      <c r="K21" s="342">
        <f>8/E21</f>
        <v>0.4</v>
      </c>
      <c r="L21" s="333">
        <f>+H21+I21+J21+K21</f>
        <v>1.28</v>
      </c>
      <c r="M21" s="333">
        <f>22*B21/E21</f>
        <v>0.44000000000000006</v>
      </c>
      <c r="N21" s="259"/>
      <c r="O21" s="259"/>
      <c r="P21" s="259"/>
      <c r="Q21" s="259"/>
      <c r="R21" s="263"/>
    </row>
    <row r="22" spans="1:18" ht="47.25" customHeight="1" x14ac:dyDescent="0.25">
      <c r="A22" s="270"/>
      <c r="B22" s="267"/>
      <c r="C22" s="260"/>
      <c r="D22" s="10" t="s">
        <v>39</v>
      </c>
      <c r="E22" s="260"/>
      <c r="F22" s="260"/>
      <c r="G22" s="260"/>
      <c r="H22" s="343"/>
      <c r="I22" s="260"/>
      <c r="J22" s="260"/>
      <c r="K22" s="343"/>
      <c r="L22" s="334"/>
      <c r="M22" s="334"/>
      <c r="N22" s="260"/>
      <c r="O22" s="260"/>
      <c r="P22" s="260"/>
      <c r="Q22" s="260"/>
      <c r="R22" s="264"/>
    </row>
    <row r="23" spans="1:18" ht="57" customHeight="1" x14ac:dyDescent="0.25">
      <c r="A23" s="271"/>
      <c r="B23" s="268"/>
      <c r="C23" s="261"/>
      <c r="D23" s="10" t="s">
        <v>41</v>
      </c>
      <c r="E23" s="260"/>
      <c r="F23" s="261"/>
      <c r="G23" s="261"/>
      <c r="H23" s="344"/>
      <c r="I23" s="261"/>
      <c r="J23" s="261"/>
      <c r="K23" s="344"/>
      <c r="L23" s="335"/>
      <c r="M23" s="335"/>
      <c r="N23" s="261"/>
      <c r="O23" s="261"/>
      <c r="P23" s="261"/>
      <c r="Q23" s="261"/>
      <c r="R23" s="265"/>
    </row>
    <row r="24" spans="1:18" ht="55.5" customHeight="1" x14ac:dyDescent="0.25">
      <c r="A24" s="269" t="s">
        <v>43</v>
      </c>
      <c r="B24" s="266">
        <v>0.3</v>
      </c>
      <c r="C24" s="259" t="s">
        <v>44</v>
      </c>
      <c r="D24" s="10" t="s">
        <v>45</v>
      </c>
      <c r="E24" s="259">
        <v>15</v>
      </c>
      <c r="F24" s="259" t="s">
        <v>29</v>
      </c>
      <c r="G24" s="259" t="s">
        <v>42</v>
      </c>
      <c r="H24" s="342">
        <f>3/30</f>
        <v>0.1</v>
      </c>
      <c r="I24" s="333">
        <f>+'Seguimiento 2'!I24:I26</f>
        <v>0.33333333333333331</v>
      </c>
      <c r="J24" s="333">
        <f>+'Seguimiento 3'!J24:J26</f>
        <v>0.4</v>
      </c>
      <c r="K24" s="342">
        <f>1/E24</f>
        <v>6.6666666666666666E-2</v>
      </c>
      <c r="L24" s="333">
        <f>+H24+I24+J24+K24</f>
        <v>0.9</v>
      </c>
      <c r="M24" s="333">
        <f>15*B24/E24</f>
        <v>0.3</v>
      </c>
      <c r="N24" s="259"/>
      <c r="O24" s="259"/>
      <c r="P24" s="259"/>
      <c r="Q24" s="259"/>
      <c r="R24" s="259"/>
    </row>
    <row r="25" spans="1:18" ht="39.75" customHeight="1" x14ac:dyDescent="0.25">
      <c r="A25" s="270"/>
      <c r="B25" s="267"/>
      <c r="C25" s="260"/>
      <c r="D25" s="10" t="s">
        <v>46</v>
      </c>
      <c r="E25" s="260"/>
      <c r="F25" s="260"/>
      <c r="G25" s="260"/>
      <c r="H25" s="343"/>
      <c r="I25" s="260"/>
      <c r="J25" s="260"/>
      <c r="K25" s="343"/>
      <c r="L25" s="334"/>
      <c r="M25" s="334"/>
      <c r="N25" s="260"/>
      <c r="O25" s="260"/>
      <c r="P25" s="260"/>
      <c r="Q25" s="260"/>
      <c r="R25" s="260"/>
    </row>
    <row r="26" spans="1:18" ht="39" customHeight="1" x14ac:dyDescent="0.25">
      <c r="A26" s="271"/>
      <c r="B26" s="268"/>
      <c r="C26" s="261"/>
      <c r="D26" s="10" t="s">
        <v>47</v>
      </c>
      <c r="E26" s="261"/>
      <c r="F26" s="261"/>
      <c r="G26" s="261"/>
      <c r="H26" s="344"/>
      <c r="I26" s="261"/>
      <c r="J26" s="261"/>
      <c r="K26" s="344"/>
      <c r="L26" s="335"/>
      <c r="M26" s="335"/>
      <c r="N26" s="261"/>
      <c r="O26" s="261"/>
      <c r="P26" s="261"/>
      <c r="Q26" s="261"/>
      <c r="R26" s="261"/>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90">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55"/>
      <c r="E29" s="256"/>
      <c r="F29" s="336"/>
      <c r="G29" s="337"/>
      <c r="H29" s="338"/>
      <c r="I29" s="21"/>
      <c r="J29" s="21"/>
      <c r="K29" s="21"/>
      <c r="L29" s="21"/>
      <c r="M29" s="21"/>
      <c r="N29" s="21"/>
      <c r="O29" s="21"/>
      <c r="P29" s="21"/>
      <c r="Q29" s="21"/>
      <c r="R29" s="21"/>
    </row>
    <row r="30" spans="1:18" ht="15.75" thickBot="1" x14ac:dyDescent="0.3">
      <c r="A30" s="12"/>
      <c r="D30" s="253" t="s">
        <v>49</v>
      </c>
      <c r="E30" s="254"/>
      <c r="F30" s="93"/>
      <c r="G30" s="254" t="s">
        <v>50</v>
      </c>
      <c r="H30" s="257"/>
      <c r="I30" s="22"/>
      <c r="J30" s="22"/>
      <c r="K30" s="22"/>
      <c r="L30" s="22"/>
      <c r="M30" s="22"/>
      <c r="N30" s="22"/>
      <c r="O30" s="22"/>
      <c r="P30" s="22"/>
      <c r="Q30" s="22"/>
      <c r="R30" s="22"/>
    </row>
    <row r="31" spans="1:18" ht="15.75" thickBot="1" x14ac:dyDescent="0.3">
      <c r="A31" s="12"/>
    </row>
    <row r="32" spans="1:18" ht="15.75" thickBot="1" x14ac:dyDescent="0.3">
      <c r="A32" s="12"/>
      <c r="B32" s="339" t="s">
        <v>127</v>
      </c>
      <c r="C32" s="340"/>
      <c r="D32" s="340"/>
      <c r="E32" s="340"/>
      <c r="F32" s="340"/>
      <c r="G32" s="340"/>
      <c r="H32" s="341"/>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5"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72" t="s">
        <v>101</v>
      </c>
      <c r="C2" s="272"/>
      <c r="D2" s="272"/>
      <c r="E2" s="272"/>
      <c r="F2" s="353"/>
      <c r="G2" s="353"/>
      <c r="H2" s="353"/>
      <c r="I2" s="353"/>
      <c r="J2" s="353"/>
      <c r="K2" s="353"/>
      <c r="L2" s="353"/>
      <c r="M2" s="353"/>
    </row>
    <row r="3" spans="1:13" ht="15.75" thickBot="1" x14ac:dyDescent="0.3"/>
    <row r="4" spans="1:13" ht="15.75" thickBot="1" x14ac:dyDescent="0.3">
      <c r="A4" s="354" t="s">
        <v>14</v>
      </c>
      <c r="B4" s="355"/>
      <c r="C4" s="355"/>
      <c r="D4" s="355"/>
      <c r="E4" s="355"/>
      <c r="F4" s="355"/>
      <c r="G4" s="355"/>
      <c r="H4" s="356" t="s">
        <v>107</v>
      </c>
      <c r="I4" s="340"/>
      <c r="J4" s="340"/>
      <c r="K4" s="340"/>
      <c r="L4" s="340"/>
      <c r="M4" s="340"/>
    </row>
    <row r="5" spans="1:13" ht="28.5" customHeight="1" x14ac:dyDescent="0.25">
      <c r="A5" s="91" t="s">
        <v>17</v>
      </c>
      <c r="B5" s="91" t="s">
        <v>18</v>
      </c>
      <c r="C5" s="95" t="s">
        <v>19</v>
      </c>
      <c r="D5" s="91" t="s">
        <v>20</v>
      </c>
      <c r="E5" s="91" t="s">
        <v>108</v>
      </c>
      <c r="F5" s="91" t="s">
        <v>22</v>
      </c>
      <c r="G5" s="32" t="s">
        <v>23</v>
      </c>
      <c r="H5" s="357" t="s">
        <v>109</v>
      </c>
      <c r="I5" s="358"/>
      <c r="J5" s="358"/>
      <c r="K5" s="359"/>
      <c r="L5" s="91" t="s">
        <v>110</v>
      </c>
      <c r="M5" s="360" t="s">
        <v>111</v>
      </c>
    </row>
    <row r="6" spans="1:13" ht="30" customHeight="1" x14ac:dyDescent="0.25">
      <c r="A6" s="280" t="s">
        <v>26</v>
      </c>
      <c r="B6" s="281">
        <v>0.3</v>
      </c>
      <c r="C6" s="259" t="s">
        <v>27</v>
      </c>
      <c r="D6" s="9" t="s">
        <v>28</v>
      </c>
      <c r="E6" s="259">
        <v>4</v>
      </c>
      <c r="F6" s="259" t="s">
        <v>29</v>
      </c>
      <c r="G6" s="273" t="s">
        <v>30</v>
      </c>
      <c r="H6" s="89" t="s">
        <v>114</v>
      </c>
      <c r="I6" s="89" t="s">
        <v>115</v>
      </c>
      <c r="J6" s="89" t="s">
        <v>116</v>
      </c>
      <c r="K6" s="89" t="s">
        <v>117</v>
      </c>
      <c r="L6" s="8" t="s">
        <v>118</v>
      </c>
      <c r="M6" s="361"/>
    </row>
    <row r="7" spans="1:13" ht="45" customHeight="1" x14ac:dyDescent="0.25">
      <c r="A7" s="280"/>
      <c r="B7" s="280"/>
      <c r="C7" s="260"/>
      <c r="D7" s="10" t="s">
        <v>31</v>
      </c>
      <c r="E7" s="260"/>
      <c r="F7" s="260"/>
      <c r="G7" s="273"/>
      <c r="H7" s="342">
        <f>1/E6</f>
        <v>0.25</v>
      </c>
      <c r="I7" s="342">
        <v>0.25</v>
      </c>
      <c r="J7" s="342">
        <v>0.5</v>
      </c>
      <c r="K7" s="342">
        <v>0</v>
      </c>
      <c r="L7" s="348">
        <f>+H7+I7+J7+K7</f>
        <v>1</v>
      </c>
      <c r="M7" s="348">
        <f>4*B6/E6</f>
        <v>0.3</v>
      </c>
    </row>
    <row r="8" spans="1:13" ht="35.25" customHeight="1" x14ac:dyDescent="0.25">
      <c r="A8" s="280"/>
      <c r="B8" s="280"/>
      <c r="C8" s="260"/>
      <c r="D8" s="10" t="s">
        <v>32</v>
      </c>
      <c r="E8" s="260"/>
      <c r="F8" s="260"/>
      <c r="G8" s="273"/>
      <c r="H8" s="343"/>
      <c r="I8" s="343"/>
      <c r="J8" s="343"/>
      <c r="K8" s="343"/>
      <c r="L8" s="349"/>
      <c r="M8" s="349"/>
    </row>
    <row r="9" spans="1:13" ht="39.75" customHeight="1" x14ac:dyDescent="0.25">
      <c r="A9" s="280"/>
      <c r="B9" s="280"/>
      <c r="C9" s="261"/>
      <c r="D9" s="10" t="s">
        <v>33</v>
      </c>
      <c r="E9" s="261"/>
      <c r="F9" s="261"/>
      <c r="G9" s="273"/>
      <c r="H9" s="344"/>
      <c r="I9" s="344"/>
      <c r="J9" s="344"/>
      <c r="K9" s="344"/>
      <c r="L9" s="350"/>
      <c r="M9" s="350"/>
    </row>
    <row r="10" spans="1:13" ht="56.25" customHeight="1" x14ac:dyDescent="0.25">
      <c r="A10" s="269" t="s">
        <v>34</v>
      </c>
      <c r="B10" s="266">
        <v>0.4</v>
      </c>
      <c r="C10" s="259" t="s">
        <v>35</v>
      </c>
      <c r="D10" s="10" t="s">
        <v>125</v>
      </c>
      <c r="E10" s="259">
        <v>20</v>
      </c>
      <c r="F10" s="259" t="s">
        <v>37</v>
      </c>
      <c r="G10" s="259" t="s">
        <v>126</v>
      </c>
      <c r="H10" s="342">
        <f>7/25</f>
        <v>0.28000000000000003</v>
      </c>
      <c r="I10" s="333">
        <v>0.35</v>
      </c>
      <c r="J10" s="333">
        <v>0.25</v>
      </c>
      <c r="K10" s="342">
        <f>8/E10</f>
        <v>0.4</v>
      </c>
      <c r="L10" s="333">
        <f>+H10+I10+J10+K10</f>
        <v>1.28</v>
      </c>
      <c r="M10" s="333">
        <f>22*B10/E10</f>
        <v>0.44000000000000006</v>
      </c>
    </row>
    <row r="11" spans="1:13" ht="47.25" customHeight="1" x14ac:dyDescent="0.25">
      <c r="A11" s="270"/>
      <c r="B11" s="267"/>
      <c r="C11" s="260"/>
      <c r="D11" s="10" t="s">
        <v>39</v>
      </c>
      <c r="E11" s="260"/>
      <c r="F11" s="260"/>
      <c r="G11" s="260"/>
      <c r="H11" s="343"/>
      <c r="I11" s="260"/>
      <c r="J11" s="260"/>
      <c r="K11" s="343"/>
      <c r="L11" s="334"/>
      <c r="M11" s="334"/>
    </row>
    <row r="12" spans="1:13" ht="57" customHeight="1" x14ac:dyDescent="0.25">
      <c r="A12" s="271"/>
      <c r="B12" s="268"/>
      <c r="C12" s="261"/>
      <c r="D12" s="10" t="s">
        <v>41</v>
      </c>
      <c r="E12" s="260"/>
      <c r="F12" s="261"/>
      <c r="G12" s="261"/>
      <c r="H12" s="344"/>
      <c r="I12" s="261"/>
      <c r="J12" s="261"/>
      <c r="K12" s="344"/>
      <c r="L12" s="335"/>
      <c r="M12" s="335"/>
    </row>
    <row r="13" spans="1:13" ht="55.5" customHeight="1" x14ac:dyDescent="0.25">
      <c r="A13" s="269" t="s">
        <v>43</v>
      </c>
      <c r="B13" s="266">
        <v>0.3</v>
      </c>
      <c r="C13" s="259" t="s">
        <v>44</v>
      </c>
      <c r="D13" s="10" t="s">
        <v>45</v>
      </c>
      <c r="E13" s="259">
        <v>15</v>
      </c>
      <c r="F13" s="259" t="s">
        <v>29</v>
      </c>
      <c r="G13" s="259" t="s">
        <v>42</v>
      </c>
      <c r="H13" s="342">
        <f>3/30</f>
        <v>0.1</v>
      </c>
      <c r="I13" s="333">
        <v>0.33</v>
      </c>
      <c r="J13" s="333">
        <v>0.4</v>
      </c>
      <c r="K13" s="342">
        <f>1/E13</f>
        <v>6.6666666666666666E-2</v>
      </c>
      <c r="L13" s="333">
        <f>+H13+I13+J13+K13</f>
        <v>0.89666666666666672</v>
      </c>
      <c r="M13" s="333">
        <f>15*B13/E13</f>
        <v>0.3</v>
      </c>
    </row>
    <row r="14" spans="1:13" ht="39.75" customHeight="1" x14ac:dyDescent="0.25">
      <c r="A14" s="270"/>
      <c r="B14" s="267"/>
      <c r="C14" s="260"/>
      <c r="D14" s="10" t="s">
        <v>46</v>
      </c>
      <c r="E14" s="260"/>
      <c r="F14" s="260"/>
      <c r="G14" s="260"/>
      <c r="H14" s="343"/>
      <c r="I14" s="260"/>
      <c r="J14" s="260"/>
      <c r="K14" s="343"/>
      <c r="L14" s="334"/>
      <c r="M14" s="334"/>
    </row>
    <row r="15" spans="1:13" ht="39" customHeight="1" x14ac:dyDescent="0.25">
      <c r="A15" s="271"/>
      <c r="B15" s="268"/>
      <c r="C15" s="261"/>
      <c r="D15" s="10" t="s">
        <v>47</v>
      </c>
      <c r="E15" s="261"/>
      <c r="F15" s="261"/>
      <c r="G15" s="261"/>
      <c r="H15" s="344"/>
      <c r="I15" s="261"/>
      <c r="J15" s="261"/>
      <c r="K15" s="344"/>
      <c r="L15" s="335"/>
      <c r="M15" s="335"/>
    </row>
    <row r="16" spans="1:13" ht="33.75" customHeight="1" x14ac:dyDescent="0.25">
      <c r="A16" s="19" t="s">
        <v>48</v>
      </c>
      <c r="B16" s="90">
        <f>SUM(B6:B15)</f>
        <v>1</v>
      </c>
      <c r="C16" s="90"/>
      <c r="D16" s="5"/>
      <c r="E16" s="5"/>
      <c r="F16" s="5"/>
      <c r="G16" s="10"/>
      <c r="H16" s="90">
        <f>SUM(H7:H15)</f>
        <v>0.63</v>
      </c>
      <c r="I16" s="90">
        <f>SUM(I7:I15)</f>
        <v>0.92999999999999994</v>
      </c>
      <c r="J16" s="90">
        <f>SUM(J7:J15)</f>
        <v>1.1499999999999999</v>
      </c>
      <c r="K16" s="90">
        <f>SUM(K7:K15)</f>
        <v>0.46666666666666667</v>
      </c>
      <c r="L16" s="20">
        <f>SUM(L7:L15)/3</f>
        <v>1.058888888888889</v>
      </c>
      <c r="M16" s="20">
        <f>SUM(M7:M15)</f>
        <v>1.04</v>
      </c>
    </row>
    <row r="17" spans="1:1" ht="29.25" customHeight="1" x14ac:dyDescent="0.25">
      <c r="A17" s="12"/>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4"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75" t="s">
        <v>145</v>
      </c>
      <c r="C3" s="376"/>
      <c r="D3" s="376"/>
      <c r="E3" s="376"/>
      <c r="F3" s="376"/>
      <c r="G3" s="376"/>
      <c r="H3" s="376"/>
      <c r="I3" s="377"/>
    </row>
    <row r="4" spans="2:9" ht="15.75" thickBot="1" x14ac:dyDescent="0.3">
      <c r="B4" s="373" t="s">
        <v>146</v>
      </c>
      <c r="C4" s="369"/>
      <c r="D4" s="369"/>
      <c r="E4" s="378" t="s">
        <v>147</v>
      </c>
      <c r="F4" s="379"/>
      <c r="G4" s="380"/>
      <c r="H4" s="369" t="s">
        <v>148</v>
      </c>
      <c r="I4" s="370"/>
    </row>
    <row r="5" spans="2:9" ht="15.75" thickBot="1" x14ac:dyDescent="0.3">
      <c r="B5" s="374"/>
      <c r="C5" s="371"/>
      <c r="D5" s="371"/>
      <c r="E5" s="48">
        <v>1</v>
      </c>
      <c r="F5" s="49">
        <v>2</v>
      </c>
      <c r="G5" s="49">
        <v>3</v>
      </c>
      <c r="H5" s="371"/>
      <c r="I5" s="372"/>
    </row>
    <row r="6" spans="2:9" ht="30.75" customHeight="1" x14ac:dyDescent="0.25">
      <c r="B6" s="47">
        <v>1</v>
      </c>
      <c r="C6" s="365" t="s">
        <v>149</v>
      </c>
      <c r="D6" s="365"/>
      <c r="E6" s="50"/>
      <c r="F6" s="50"/>
      <c r="G6" s="50"/>
      <c r="H6" s="381"/>
      <c r="I6" s="382"/>
    </row>
    <row r="7" spans="2:9" ht="39" customHeight="1" x14ac:dyDescent="0.25">
      <c r="B7" s="46">
        <v>2</v>
      </c>
      <c r="C7" s="366" t="s">
        <v>150</v>
      </c>
      <c r="D7" s="366"/>
      <c r="E7" s="44"/>
      <c r="F7" s="44"/>
      <c r="G7" s="44"/>
      <c r="H7" s="363"/>
      <c r="I7" s="364"/>
    </row>
    <row r="8" spans="2:9" ht="30" customHeight="1" x14ac:dyDescent="0.25">
      <c r="B8" s="46">
        <v>3</v>
      </c>
      <c r="C8" s="366" t="s">
        <v>151</v>
      </c>
      <c r="D8" s="366"/>
      <c r="E8" s="44"/>
      <c r="F8" s="44"/>
      <c r="G8" s="44"/>
      <c r="H8" s="363"/>
      <c r="I8" s="364"/>
    </row>
    <row r="9" spans="2:9" ht="34.5" customHeight="1" x14ac:dyDescent="0.25">
      <c r="B9" s="46">
        <v>4</v>
      </c>
      <c r="C9" s="366" t="s">
        <v>152</v>
      </c>
      <c r="D9" s="366"/>
      <c r="E9" s="44"/>
      <c r="F9" s="44"/>
      <c r="G9" s="44"/>
      <c r="H9" s="363"/>
      <c r="I9" s="364"/>
    </row>
    <row r="10" spans="2:9" ht="30.75" customHeight="1" x14ac:dyDescent="0.25">
      <c r="B10" s="46">
        <v>5</v>
      </c>
      <c r="C10" s="366" t="s">
        <v>153</v>
      </c>
      <c r="D10" s="366"/>
      <c r="E10" s="44"/>
      <c r="F10" s="44"/>
      <c r="G10" s="44"/>
      <c r="H10" s="363"/>
      <c r="I10" s="364"/>
    </row>
    <row r="11" spans="2:9" ht="33.75" customHeight="1" x14ac:dyDescent="0.25">
      <c r="B11" s="46">
        <v>6</v>
      </c>
      <c r="C11" s="366" t="s">
        <v>154</v>
      </c>
      <c r="D11" s="366"/>
      <c r="E11" s="44"/>
      <c r="F11" s="44"/>
      <c r="G11" s="44"/>
      <c r="H11" s="363"/>
      <c r="I11" s="364"/>
    </row>
    <row r="12" spans="2:9" ht="25.5" customHeight="1" x14ac:dyDescent="0.25">
      <c r="B12" s="46">
        <v>7</v>
      </c>
      <c r="C12" s="366" t="s">
        <v>155</v>
      </c>
      <c r="D12" s="366"/>
      <c r="E12" s="45"/>
      <c r="F12" s="45"/>
      <c r="G12" s="45"/>
      <c r="H12" s="367"/>
      <c r="I12" s="368"/>
    </row>
    <row r="13" spans="2:9" ht="46.5" customHeight="1" x14ac:dyDescent="0.25">
      <c r="B13" s="46">
        <v>8</v>
      </c>
      <c r="C13" s="366" t="s">
        <v>156</v>
      </c>
      <c r="D13" s="366"/>
      <c r="E13" s="45"/>
      <c r="F13" s="45"/>
      <c r="G13" s="45"/>
      <c r="H13" s="367"/>
      <c r="I13" s="368"/>
    </row>
    <row r="14" spans="2:9" ht="30.75" customHeight="1" x14ac:dyDescent="0.25">
      <c r="B14" s="46">
        <v>9</v>
      </c>
      <c r="C14" s="366" t="s">
        <v>157</v>
      </c>
      <c r="D14" s="366"/>
      <c r="E14" s="45"/>
      <c r="F14" s="45"/>
      <c r="G14" s="45"/>
      <c r="H14" s="367"/>
      <c r="I14" s="368"/>
    </row>
    <row r="15" spans="2:9" x14ac:dyDescent="0.25">
      <c r="B15" s="46">
        <v>10</v>
      </c>
      <c r="C15" s="366"/>
      <c r="D15" s="366"/>
      <c r="E15" s="45"/>
      <c r="F15" s="45"/>
      <c r="G15" s="45"/>
      <c r="H15" s="367"/>
      <c r="I15" s="368"/>
    </row>
    <row r="16" spans="2:9" x14ac:dyDescent="0.25">
      <c r="B16" s="46">
        <v>11</v>
      </c>
      <c r="C16" s="366"/>
      <c r="D16" s="366"/>
      <c r="E16" s="45"/>
      <c r="F16" s="45"/>
      <c r="G16" s="45"/>
      <c r="H16" s="367"/>
      <c r="I16" s="368"/>
    </row>
    <row r="17" spans="2:9" x14ac:dyDescent="0.25">
      <c r="B17" s="46">
        <v>12</v>
      </c>
      <c r="C17" s="366"/>
      <c r="D17" s="366"/>
      <c r="E17" s="45"/>
      <c r="F17" s="45"/>
      <c r="G17" s="45"/>
      <c r="H17" s="367"/>
      <c r="I17" s="368"/>
    </row>
    <row r="18" spans="2:9" ht="15.75" thickBot="1" x14ac:dyDescent="0.3"/>
    <row r="19" spans="2:9" ht="11.25" customHeight="1" thickBot="1" x14ac:dyDescent="0.3">
      <c r="B19" s="362" t="s">
        <v>158</v>
      </c>
      <c r="C19" s="362"/>
      <c r="D19" s="362"/>
      <c r="E19" s="362"/>
      <c r="F19" s="362"/>
      <c r="G19" s="362"/>
      <c r="H19" s="362"/>
      <c r="I19" s="362"/>
    </row>
    <row r="20" spans="2:9" ht="6.75" customHeight="1" thickBot="1" x14ac:dyDescent="0.3">
      <c r="B20" s="362"/>
      <c r="C20" s="362"/>
      <c r="D20" s="362"/>
      <c r="E20" s="362"/>
      <c r="F20" s="362"/>
      <c r="G20" s="362"/>
      <c r="H20" s="362"/>
      <c r="I20" s="362"/>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390" t="s">
        <v>159</v>
      </c>
      <c r="C2" s="33" t="s">
        <v>2</v>
      </c>
    </row>
    <row r="3" spans="2:4" x14ac:dyDescent="0.25">
      <c r="B3" s="390"/>
      <c r="C3" s="34" t="s">
        <v>160</v>
      </c>
    </row>
    <row r="4" spans="2:4" x14ac:dyDescent="0.25">
      <c r="B4" s="390"/>
      <c r="C4" s="34" t="s">
        <v>161</v>
      </c>
    </row>
    <row r="5" spans="2:4" x14ac:dyDescent="0.25">
      <c r="B5" s="390"/>
      <c r="C5" s="34" t="s">
        <v>162</v>
      </c>
    </row>
    <row r="6" spans="2:4" x14ac:dyDescent="0.25">
      <c r="B6" s="390"/>
      <c r="C6" s="388" t="s">
        <v>163</v>
      </c>
    </row>
    <row r="7" spans="2:4" x14ac:dyDescent="0.25">
      <c r="B7" s="390"/>
      <c r="C7" s="389"/>
    </row>
    <row r="8" spans="2:4" ht="135.75" customHeight="1" x14ac:dyDescent="0.25">
      <c r="B8" s="383" t="s">
        <v>14</v>
      </c>
      <c r="C8" s="36" t="s">
        <v>18</v>
      </c>
      <c r="D8" s="38" t="s">
        <v>164</v>
      </c>
    </row>
    <row r="9" spans="2:4" ht="106.5" customHeight="1" x14ac:dyDescent="0.25">
      <c r="B9" s="384"/>
      <c r="C9" s="37" t="s">
        <v>19</v>
      </c>
      <c r="D9" s="39" t="s">
        <v>165</v>
      </c>
    </row>
    <row r="10" spans="2:4" ht="60" x14ac:dyDescent="0.25">
      <c r="B10" s="384"/>
      <c r="C10" s="36" t="s">
        <v>20</v>
      </c>
      <c r="D10" s="39" t="s">
        <v>166</v>
      </c>
    </row>
    <row r="11" spans="2:4" ht="45" x14ac:dyDescent="0.25">
      <c r="B11" s="384"/>
      <c r="C11" s="36" t="s">
        <v>21</v>
      </c>
      <c r="D11" s="40" t="s">
        <v>167</v>
      </c>
    </row>
    <row r="12" spans="2:4" ht="75" x14ac:dyDescent="0.25">
      <c r="B12" s="384"/>
      <c r="C12" s="36" t="s">
        <v>22</v>
      </c>
      <c r="D12" s="40" t="s">
        <v>168</v>
      </c>
    </row>
    <row r="13" spans="2:4" ht="51.75" customHeight="1" x14ac:dyDescent="0.25">
      <c r="B13" s="384"/>
      <c r="C13" s="36" t="s">
        <v>23</v>
      </c>
      <c r="D13" s="41" t="s">
        <v>169</v>
      </c>
    </row>
    <row r="14" spans="2:4" ht="48" customHeight="1" x14ac:dyDescent="0.25">
      <c r="B14" s="384"/>
      <c r="C14" s="36" t="s">
        <v>170</v>
      </c>
    </row>
    <row r="15" spans="2:4" ht="39" customHeight="1" x14ac:dyDescent="0.25">
      <c r="B15" s="385"/>
      <c r="C15" s="36" t="s">
        <v>171</v>
      </c>
    </row>
    <row r="16" spans="2:4" ht="39" customHeight="1" x14ac:dyDescent="0.25">
      <c r="B16" s="386" t="s">
        <v>172</v>
      </c>
      <c r="C16" s="35" t="s">
        <v>109</v>
      </c>
    </row>
    <row r="17" spans="2:3" x14ac:dyDescent="0.25">
      <c r="B17" s="387"/>
      <c r="C17" s="35" t="s">
        <v>173</v>
      </c>
    </row>
    <row r="18" spans="2:3" x14ac:dyDescent="0.25">
      <c r="B18" s="387"/>
      <c r="C18" s="42" t="s">
        <v>111</v>
      </c>
    </row>
    <row r="19" spans="2:3" x14ac:dyDescent="0.25">
      <c r="B19" s="387"/>
      <c r="C19" s="42" t="s">
        <v>112</v>
      </c>
    </row>
    <row r="20" spans="2:3" x14ac:dyDescent="0.25">
      <c r="B20" s="387"/>
      <c r="C20" s="42" t="s">
        <v>174</v>
      </c>
    </row>
    <row r="21" spans="2:3" x14ac:dyDescent="0.25">
      <c r="B21" s="387"/>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609EC-E857-4622-994B-E96659D8462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abc39b8-e2e6-47a0-891c-601d01fb1a40"/>
    <ds:schemaRef ds:uri="6c60952e-e9e0-4d4a-b728-9d01db15fa23"/>
    <ds:schemaRef ds:uri="http://www.w3.org/XML/1998/namespace"/>
    <ds:schemaRef ds:uri="http://purl.org/dc/dcmitype/"/>
  </ds:schemaRefs>
</ds:datastoreItem>
</file>

<file path=customXml/itemProps2.xml><?xml version="1.0" encoding="utf-8"?>
<ds:datastoreItem xmlns:ds="http://schemas.openxmlformats.org/officeDocument/2006/customXml" ds:itemID="{4BEAEF29-BC67-49BD-841B-7B1B4D89A4E7}"/>
</file>

<file path=customXml/itemProps3.xml><?xml version="1.0" encoding="utf-8"?>
<ds:datastoreItem xmlns:ds="http://schemas.openxmlformats.org/officeDocument/2006/customXml" ds:itemID="{1C23D8CA-EFE4-4436-AC64-77209DE5E2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8</vt:i4>
      </vt:variant>
    </vt:vector>
  </HeadingPairs>
  <TitlesOfParts>
    <vt:vector size="23"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OAP-DIROS</vt:lpstr>
      <vt:lpstr>calculos corte espec</vt:lpstr>
      <vt:lpstr>ANEXO 1</vt:lpstr>
      <vt:lpstr>OAP-DIROS (23-9)</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'OAP-DIROS'!Área_de_impresión</vt:lpstr>
      <vt:lpstr>'OAP-DIROS (23-9)'!Área_de_impresión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Julian Rubio Rincon</dc:creator>
  <cp:keywords>gerentes públicos;Gobierno de Colombia</cp:keywords>
  <dc:description/>
  <cp:lastModifiedBy>Edward Arles Morales Serrano</cp:lastModifiedBy>
  <cp:revision/>
  <dcterms:created xsi:type="dcterms:W3CDTF">2014-03-17T17:12:16Z</dcterms:created>
  <dcterms:modified xsi:type="dcterms:W3CDTF">2023-02-08T13:31:31Z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